
<file path=[Content_Types].xml><?xml version="1.0" encoding="utf-8"?>
<Types xmlns="http://schemas.openxmlformats.org/package/2006/content-types">
  <Override PartName="/xl/worksheets/sheet12.xml" ContentType="application/vnd.openxmlformats-officedocument.spreadsheetml.worksheet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docProps/core.xml" ContentType="application/vnd.openxmlformats-package.core-properties+xml"/>
  <Default Extension="xml" ContentType="application/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worksheets/sheet4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Default Extension="rels" ContentType="application/vnd.openxmlformats-package.relationships+xml"/>
  <Override PartName="/xl/worksheets/sheet6.xml" ContentType="application/vnd.openxmlformats-officedocument.spreadsheetml.worksheet+xml"/>
  <Override PartName="/docProps/app.xml" ContentType="application/vnd.openxmlformats-officedocument.extended-properties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0.xml" ContentType="application/vnd.openxmlformats-officedocument.spreadsheetml.worksheet+xml"/>
  <Override PartName="/xl/worksheets/sheet5.xml" ContentType="application/vnd.openxmlformats-officedocument.spreadsheetml.worksheet+xml"/>
  <Override PartName="/xl/worksheets/sheet11.xml" ContentType="application/vnd.openxmlformats-officedocument.spreadsheetml.worksheet+xml"/>
  <Override PartName="/xl/styles.xml" ContentType="application/vnd.openxmlformats-officedocument.spreadsheetml.styles+xml"/>
  <Override PartName="/xl/calcChain.xml" ContentType="application/vnd.openxmlformats-officedocument.spreadsheetml.calcChain+xml"/>
  <Default Extension="jpeg" ContentType="image/jpeg"/>
</Types>
</file>

<file path=_rels/.rels><?xml version="1.0" encoding="UTF-8" standalone="yes"?>
<Relationships xmlns="http://schemas.openxmlformats.org/package/2006/relationships"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Relationship Id="rId3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-20" yWindow="-20" windowWidth="23220" windowHeight="13620" tabRatio="784"/>
  </bookViews>
  <sheets>
    <sheet name="Summary" sheetId="12" r:id="rId1"/>
    <sheet name="TF-LG" sheetId="1" r:id="rId2"/>
    <sheet name="SIM-LG" sheetId="2" r:id="rId3"/>
    <sheet name="KD-LG" sheetId="8" r:id="rId4"/>
    <sheet name="TFOPT-LG" sheetId="13" r:id="rId5"/>
    <sheet name="SIMOPT-LG" sheetId="7" r:id="rId6"/>
    <sheet name="KDOPT-LG" sheetId="9" r:id="rId7"/>
    <sheet name="TF - Mid" sheetId="3" r:id="rId8"/>
    <sheet name="SIM-Mid" sheetId="5" r:id="rId9"/>
    <sheet name="KD-Mid" sheetId="10" r:id="rId10"/>
    <sheet name="TF-SM" sheetId="4" r:id="rId11"/>
    <sheet name="Sim-SM" sheetId="6" r:id="rId12"/>
    <sheet name="KD-SM" sheetId="11" r:id="rId13"/>
  </sheets>
  <calcPr calcId="130407" iterate="1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M34" i="8"/>
  <c r="L34"/>
  <c r="E31"/>
  <c r="F31"/>
  <c r="B7"/>
  <c r="H31"/>
  <c r="I31"/>
  <c r="K31"/>
  <c r="J31"/>
  <c r="L31"/>
  <c r="M31"/>
  <c r="N31"/>
  <c r="O31"/>
  <c r="C69"/>
  <c r="E32"/>
  <c r="F32"/>
  <c r="H32"/>
  <c r="I32"/>
  <c r="K32"/>
  <c r="J32"/>
  <c r="L32"/>
  <c r="M32"/>
  <c r="N32"/>
  <c r="O32"/>
  <c r="C70"/>
  <c r="E33"/>
  <c r="F33"/>
  <c r="H33"/>
  <c r="I33"/>
  <c r="K33"/>
  <c r="J33"/>
  <c r="L33"/>
  <c r="M33"/>
  <c r="N33"/>
  <c r="O33"/>
  <c r="C71"/>
  <c r="C30"/>
  <c r="E30"/>
  <c r="F30"/>
  <c r="H30"/>
  <c r="I30"/>
  <c r="K30"/>
  <c r="J30"/>
  <c r="L30"/>
  <c r="M30"/>
  <c r="N30"/>
  <c r="O30"/>
  <c r="C68"/>
  <c r="J34"/>
  <c r="Q30"/>
  <c r="Q31"/>
  <c r="Q32"/>
  <c r="Q33"/>
  <c r="Q34"/>
  <c r="C19"/>
  <c r="C20"/>
  <c r="C21"/>
  <c r="C22"/>
  <c r="C23"/>
  <c r="R30"/>
  <c r="R31"/>
  <c r="R32"/>
  <c r="R33"/>
  <c r="R34"/>
  <c r="C38"/>
  <c r="H34"/>
  <c r="C39"/>
  <c r="P30"/>
  <c r="P31"/>
  <c r="P32"/>
  <c r="P33"/>
  <c r="P34"/>
  <c r="C36"/>
  <c r="C37"/>
  <c r="C40"/>
  <c r="A57"/>
  <c r="A56"/>
  <c r="C49"/>
  <c r="C48"/>
  <c r="C46"/>
  <c r="H69"/>
  <c r="I69"/>
  <c r="H70"/>
  <c r="I70"/>
  <c r="H71"/>
  <c r="I71"/>
  <c r="I68"/>
  <c r="H68"/>
  <c r="D69"/>
  <c r="D70"/>
  <c r="D71"/>
  <c r="D68"/>
  <c r="F34"/>
  <c r="C41"/>
  <c r="B31"/>
  <c r="B32"/>
  <c r="B33"/>
  <c r="B30"/>
  <c r="E34"/>
  <c r="I34"/>
  <c r="B3"/>
  <c r="G34"/>
  <c r="D34"/>
  <c r="G33"/>
  <c r="G32"/>
  <c r="G31"/>
  <c r="G30"/>
  <c r="B5"/>
  <c r="B47"/>
  <c r="C47"/>
  <c r="C50"/>
  <c r="C52"/>
  <c r="C53"/>
  <c r="C56"/>
  <c r="C57"/>
  <c r="A58"/>
  <c r="C58"/>
  <c r="C59"/>
  <c r="C61"/>
  <c r="C63"/>
  <c r="C64"/>
  <c r="E68"/>
  <c r="F68"/>
  <c r="G68"/>
  <c r="J68"/>
  <c r="E69"/>
  <c r="F69"/>
  <c r="G69"/>
  <c r="J69"/>
  <c r="E70"/>
  <c r="F70"/>
  <c r="G70"/>
  <c r="J70"/>
  <c r="E71"/>
  <c r="F71"/>
  <c r="G71"/>
  <c r="J71"/>
  <c r="G72"/>
  <c r="C30" i="10"/>
  <c r="E30"/>
  <c r="F30"/>
  <c r="B7"/>
  <c r="H30"/>
  <c r="I30"/>
  <c r="K30"/>
  <c r="J30"/>
  <c r="L30"/>
  <c r="M30"/>
  <c r="N30"/>
  <c r="O30"/>
  <c r="D68"/>
  <c r="P30"/>
  <c r="E31"/>
  <c r="F31"/>
  <c r="H31"/>
  <c r="I31"/>
  <c r="K31"/>
  <c r="J31"/>
  <c r="L31"/>
  <c r="M31"/>
  <c r="N31"/>
  <c r="O31"/>
  <c r="P31"/>
  <c r="E32"/>
  <c r="F32"/>
  <c r="H32"/>
  <c r="I32"/>
  <c r="K32"/>
  <c r="J32"/>
  <c r="L32"/>
  <c r="M32"/>
  <c r="N32"/>
  <c r="O32"/>
  <c r="P32"/>
  <c r="E33"/>
  <c r="F33"/>
  <c r="H33"/>
  <c r="I33"/>
  <c r="K33"/>
  <c r="J33"/>
  <c r="L33"/>
  <c r="M33"/>
  <c r="N33"/>
  <c r="O33"/>
  <c r="P33"/>
  <c r="P34"/>
  <c r="Q30"/>
  <c r="Q31"/>
  <c r="Q32"/>
  <c r="Q33"/>
  <c r="Q34"/>
  <c r="C19"/>
  <c r="C20"/>
  <c r="C21"/>
  <c r="C22"/>
  <c r="C23"/>
  <c r="R30"/>
  <c r="R31"/>
  <c r="R32"/>
  <c r="R33"/>
  <c r="R34"/>
  <c r="C40"/>
  <c r="C71"/>
  <c r="D71"/>
  <c r="I71"/>
  <c r="H71"/>
  <c r="C70"/>
  <c r="D70"/>
  <c r="I70"/>
  <c r="H70"/>
  <c r="C69"/>
  <c r="D69"/>
  <c r="I69"/>
  <c r="H69"/>
  <c r="C68"/>
  <c r="I68"/>
  <c r="H68"/>
  <c r="A57"/>
  <c r="A56"/>
  <c r="H34"/>
  <c r="C41"/>
  <c r="C38"/>
  <c r="C39"/>
  <c r="C36"/>
  <c r="C37"/>
  <c r="L34"/>
  <c r="J34"/>
  <c r="E34"/>
  <c r="I34"/>
  <c r="F34"/>
  <c r="B3"/>
  <c r="G34"/>
  <c r="D34"/>
  <c r="G33"/>
  <c r="B33"/>
  <c r="G32"/>
  <c r="B32"/>
  <c r="G31"/>
  <c r="B31"/>
  <c r="G30"/>
  <c r="B30"/>
  <c r="B5"/>
  <c r="B46"/>
  <c r="C46"/>
  <c r="B49"/>
  <c r="C49"/>
  <c r="B48"/>
  <c r="C48"/>
  <c r="B47"/>
  <c r="C47"/>
  <c r="C50"/>
  <c r="C52"/>
  <c r="C53"/>
  <c r="C56"/>
  <c r="C57"/>
  <c r="A58"/>
  <c r="C58"/>
  <c r="C59"/>
  <c r="C61"/>
  <c r="C63"/>
  <c r="C64"/>
  <c r="E68"/>
  <c r="F68"/>
  <c r="G68"/>
  <c r="J68"/>
  <c r="E69"/>
  <c r="F69"/>
  <c r="G69"/>
  <c r="J69"/>
  <c r="E70"/>
  <c r="F70"/>
  <c r="G70"/>
  <c r="J70"/>
  <c r="E71"/>
  <c r="F71"/>
  <c r="G71"/>
  <c r="J71"/>
  <c r="G72"/>
  <c r="C30" i="11"/>
  <c r="E30"/>
  <c r="F30"/>
  <c r="B7"/>
  <c r="H30"/>
  <c r="I30"/>
  <c r="K30"/>
  <c r="J30"/>
  <c r="L30"/>
  <c r="M30"/>
  <c r="N30"/>
  <c r="O30"/>
  <c r="D68"/>
  <c r="P30"/>
  <c r="E31"/>
  <c r="F31"/>
  <c r="H31"/>
  <c r="I31"/>
  <c r="K31"/>
  <c r="J31"/>
  <c r="L31"/>
  <c r="M31"/>
  <c r="N31"/>
  <c r="O31"/>
  <c r="P31"/>
  <c r="E32"/>
  <c r="F32"/>
  <c r="H32"/>
  <c r="I32"/>
  <c r="K32"/>
  <c r="J32"/>
  <c r="L32"/>
  <c r="M32"/>
  <c r="N32"/>
  <c r="O32"/>
  <c r="P32"/>
  <c r="E33"/>
  <c r="F33"/>
  <c r="H33"/>
  <c r="I33"/>
  <c r="K33"/>
  <c r="J33"/>
  <c r="L33"/>
  <c r="M33"/>
  <c r="N33"/>
  <c r="O33"/>
  <c r="P33"/>
  <c r="P34"/>
  <c r="Q30"/>
  <c r="Q31"/>
  <c r="Q32"/>
  <c r="Q33"/>
  <c r="Q34"/>
  <c r="C19"/>
  <c r="C20"/>
  <c r="C21"/>
  <c r="C22"/>
  <c r="C23"/>
  <c r="R30"/>
  <c r="R31"/>
  <c r="R32"/>
  <c r="R33"/>
  <c r="R34"/>
  <c r="C40"/>
  <c r="H34"/>
  <c r="C71"/>
  <c r="D71"/>
  <c r="I71"/>
  <c r="H71"/>
  <c r="C70"/>
  <c r="D70"/>
  <c r="I70"/>
  <c r="H70"/>
  <c r="C69"/>
  <c r="D69"/>
  <c r="I69"/>
  <c r="H69"/>
  <c r="C68"/>
  <c r="I68"/>
  <c r="H68"/>
  <c r="A57"/>
  <c r="A56"/>
  <c r="C41"/>
  <c r="C38"/>
  <c r="C39"/>
  <c r="C36"/>
  <c r="C37"/>
  <c r="L34"/>
  <c r="J34"/>
  <c r="E34"/>
  <c r="I34"/>
  <c r="F34"/>
  <c r="B3"/>
  <c r="G34"/>
  <c r="D34"/>
  <c r="G33"/>
  <c r="B33"/>
  <c r="G32"/>
  <c r="B32"/>
  <c r="G31"/>
  <c r="B31"/>
  <c r="G30"/>
  <c r="B30"/>
  <c r="B5"/>
  <c r="B46"/>
  <c r="C46"/>
  <c r="B48"/>
  <c r="C48"/>
  <c r="B49"/>
  <c r="C49"/>
  <c r="B47"/>
  <c r="C47"/>
  <c r="C50"/>
  <c r="C52"/>
  <c r="C53"/>
  <c r="C56"/>
  <c r="C57"/>
  <c r="A58"/>
  <c r="C58"/>
  <c r="C59"/>
  <c r="C61"/>
  <c r="C63"/>
  <c r="C64"/>
  <c r="E68"/>
  <c r="F68"/>
  <c r="G68"/>
  <c r="J68"/>
  <c r="E69"/>
  <c r="F69"/>
  <c r="G69"/>
  <c r="J69"/>
  <c r="E70"/>
  <c r="F70"/>
  <c r="G70"/>
  <c r="J70"/>
  <c r="E71"/>
  <c r="F71"/>
  <c r="G71"/>
  <c r="J71"/>
  <c r="G72"/>
  <c r="L34" i="9"/>
  <c r="E31"/>
  <c r="F31"/>
  <c r="B7"/>
  <c r="H31"/>
  <c r="E32"/>
  <c r="F32"/>
  <c r="H32"/>
  <c r="E33"/>
  <c r="F33"/>
  <c r="H33"/>
  <c r="C30"/>
  <c r="E30"/>
  <c r="F30"/>
  <c r="H30"/>
  <c r="H34"/>
  <c r="C48"/>
  <c r="B48"/>
  <c r="C49"/>
  <c r="B49"/>
  <c r="C46"/>
  <c r="B46"/>
  <c r="I30"/>
  <c r="K30"/>
  <c r="J30"/>
  <c r="L30"/>
  <c r="M30"/>
  <c r="N30"/>
  <c r="O30"/>
  <c r="D68"/>
  <c r="P30"/>
  <c r="I31"/>
  <c r="K31"/>
  <c r="J31"/>
  <c r="L31"/>
  <c r="M31"/>
  <c r="N31"/>
  <c r="O31"/>
  <c r="P31"/>
  <c r="I32"/>
  <c r="K32"/>
  <c r="J32"/>
  <c r="L32"/>
  <c r="M32"/>
  <c r="N32"/>
  <c r="O32"/>
  <c r="P32"/>
  <c r="I33"/>
  <c r="K33"/>
  <c r="J33"/>
  <c r="L33"/>
  <c r="M33"/>
  <c r="N33"/>
  <c r="O33"/>
  <c r="P33"/>
  <c r="P34"/>
  <c r="Q30"/>
  <c r="Q31"/>
  <c r="Q32"/>
  <c r="Q33"/>
  <c r="Q34"/>
  <c r="C19"/>
  <c r="C20"/>
  <c r="C21"/>
  <c r="C22"/>
  <c r="C23"/>
  <c r="R30"/>
  <c r="R31"/>
  <c r="R32"/>
  <c r="R33"/>
  <c r="R34"/>
  <c r="C40"/>
  <c r="J34"/>
  <c r="C71"/>
  <c r="D71"/>
  <c r="I71"/>
  <c r="H71"/>
  <c r="C70"/>
  <c r="D70"/>
  <c r="I70"/>
  <c r="H70"/>
  <c r="C69"/>
  <c r="D69"/>
  <c r="I69"/>
  <c r="H69"/>
  <c r="C68"/>
  <c r="I68"/>
  <c r="H68"/>
  <c r="A57"/>
  <c r="A56"/>
  <c r="C41"/>
  <c r="C38"/>
  <c r="C39"/>
  <c r="C36"/>
  <c r="C37"/>
  <c r="E34"/>
  <c r="I34"/>
  <c r="F34"/>
  <c r="B3"/>
  <c r="G34"/>
  <c r="D34"/>
  <c r="G33"/>
  <c r="B33"/>
  <c r="G32"/>
  <c r="B32"/>
  <c r="G31"/>
  <c r="B31"/>
  <c r="G30"/>
  <c r="B30"/>
  <c r="B5"/>
  <c r="B47"/>
  <c r="C47"/>
  <c r="C50"/>
  <c r="C52"/>
  <c r="C53"/>
  <c r="C56"/>
  <c r="C57"/>
  <c r="A58"/>
  <c r="C58"/>
  <c r="C59"/>
  <c r="C61"/>
  <c r="C63"/>
  <c r="C64"/>
  <c r="E68"/>
  <c r="F68"/>
  <c r="G68"/>
  <c r="J68"/>
  <c r="E69"/>
  <c r="F69"/>
  <c r="G69"/>
  <c r="J69"/>
  <c r="E70"/>
  <c r="F70"/>
  <c r="G70"/>
  <c r="J70"/>
  <c r="E71"/>
  <c r="F71"/>
  <c r="G71"/>
  <c r="J71"/>
  <c r="G72"/>
  <c r="C45" i="2"/>
  <c r="K23"/>
  <c r="K24"/>
  <c r="K25"/>
  <c r="K22"/>
  <c r="J26"/>
  <c r="H51"/>
  <c r="H52"/>
  <c r="H53"/>
  <c r="H50"/>
  <c r="C53"/>
  <c r="C51"/>
  <c r="C52"/>
  <c r="D51"/>
  <c r="E51"/>
  <c r="F51"/>
  <c r="D52"/>
  <c r="E52"/>
  <c r="F52"/>
  <c r="D53"/>
  <c r="E53"/>
  <c r="F53"/>
  <c r="F50"/>
  <c r="E50"/>
  <c r="D50"/>
  <c r="C50"/>
  <c r="N25"/>
  <c r="N26"/>
  <c r="C28"/>
  <c r="C34"/>
  <c r="C47"/>
  <c r="C22"/>
  <c r="E22"/>
  <c r="F22"/>
  <c r="B7"/>
  <c r="H22"/>
  <c r="J22"/>
  <c r="L22"/>
  <c r="N22"/>
  <c r="C23"/>
  <c r="E23"/>
  <c r="F23"/>
  <c r="H23"/>
  <c r="J23"/>
  <c r="L23"/>
  <c r="N23"/>
  <c r="C24"/>
  <c r="E24"/>
  <c r="F24"/>
  <c r="H24"/>
  <c r="J24"/>
  <c r="L24"/>
  <c r="N24"/>
  <c r="C25"/>
  <c r="E25"/>
  <c r="F25"/>
  <c r="H25"/>
  <c r="J25"/>
  <c r="L25"/>
  <c r="P22"/>
  <c r="P23"/>
  <c r="P24"/>
  <c r="P25"/>
  <c r="P26"/>
  <c r="C12"/>
  <c r="C13"/>
  <c r="C14"/>
  <c r="C15"/>
  <c r="C16"/>
  <c r="Q22"/>
  <c r="Q23"/>
  <c r="Q24"/>
  <c r="Q25"/>
  <c r="Q26"/>
  <c r="C30"/>
  <c r="S22"/>
  <c r="U22"/>
  <c r="S23"/>
  <c r="U23"/>
  <c r="S24"/>
  <c r="U24"/>
  <c r="S25"/>
  <c r="U25"/>
  <c r="U26"/>
  <c r="C32"/>
  <c r="H26"/>
  <c r="C33"/>
  <c r="C35"/>
  <c r="C31"/>
  <c r="C29"/>
  <c r="L26"/>
  <c r="O22"/>
  <c r="M23"/>
  <c r="M24"/>
  <c r="M25"/>
  <c r="M22"/>
  <c r="V23"/>
  <c r="V24"/>
  <c r="V25"/>
  <c r="V22"/>
  <c r="W23"/>
  <c r="I23"/>
  <c r="W24"/>
  <c r="I24"/>
  <c r="W25"/>
  <c r="I25"/>
  <c r="W22"/>
  <c r="I22"/>
  <c r="C41"/>
  <c r="C42"/>
  <c r="C43"/>
  <c r="C44"/>
  <c r="B3"/>
  <c r="B5"/>
  <c r="S26"/>
  <c r="G22"/>
  <c r="F26"/>
  <c r="E26"/>
  <c r="C48"/>
  <c r="I26"/>
  <c r="G26"/>
  <c r="D26"/>
  <c r="O25"/>
  <c r="G25"/>
  <c r="O24"/>
  <c r="G24"/>
  <c r="O23"/>
  <c r="G23"/>
  <c r="E25" i="5"/>
  <c r="F25"/>
  <c r="B7"/>
  <c r="H25"/>
  <c r="J25"/>
  <c r="L25"/>
  <c r="M25"/>
  <c r="C53"/>
  <c r="P25"/>
  <c r="D53"/>
  <c r="C12"/>
  <c r="C13"/>
  <c r="C14"/>
  <c r="C15"/>
  <c r="C16"/>
  <c r="Q25"/>
  <c r="E53"/>
  <c r="V25"/>
  <c r="W25"/>
  <c r="F53"/>
  <c r="H53"/>
  <c r="E24"/>
  <c r="F24"/>
  <c r="H24"/>
  <c r="J24"/>
  <c r="L24"/>
  <c r="M24"/>
  <c r="C52"/>
  <c r="P24"/>
  <c r="D52"/>
  <c r="Q24"/>
  <c r="E52"/>
  <c r="V24"/>
  <c r="W24"/>
  <c r="F52"/>
  <c r="H52"/>
  <c r="E23"/>
  <c r="F23"/>
  <c r="H23"/>
  <c r="J23"/>
  <c r="L23"/>
  <c r="M23"/>
  <c r="C51"/>
  <c r="P23"/>
  <c r="D51"/>
  <c r="Q23"/>
  <c r="E51"/>
  <c r="V23"/>
  <c r="W23"/>
  <c r="F51"/>
  <c r="H51"/>
  <c r="C22"/>
  <c r="E22"/>
  <c r="F22"/>
  <c r="H22"/>
  <c r="J22"/>
  <c r="L22"/>
  <c r="M22"/>
  <c r="C50"/>
  <c r="P22"/>
  <c r="D50"/>
  <c r="Q22"/>
  <c r="E50"/>
  <c r="V22"/>
  <c r="W22"/>
  <c r="F50"/>
  <c r="H50"/>
  <c r="N22"/>
  <c r="N23"/>
  <c r="N24"/>
  <c r="N25"/>
  <c r="N26"/>
  <c r="C28"/>
  <c r="P26"/>
  <c r="Q26"/>
  <c r="C30"/>
  <c r="S22"/>
  <c r="U22"/>
  <c r="S23"/>
  <c r="U23"/>
  <c r="S24"/>
  <c r="U24"/>
  <c r="S25"/>
  <c r="U25"/>
  <c r="U26"/>
  <c r="C32"/>
  <c r="C34"/>
  <c r="H26"/>
  <c r="C35"/>
  <c r="C33"/>
  <c r="C31"/>
  <c r="C29"/>
  <c r="S26"/>
  <c r="L26"/>
  <c r="J26"/>
  <c r="E26"/>
  <c r="I26"/>
  <c r="F26"/>
  <c r="B3"/>
  <c r="G26"/>
  <c r="D26"/>
  <c r="O25"/>
  <c r="K25"/>
  <c r="I25"/>
  <c r="G25"/>
  <c r="O24"/>
  <c r="K24"/>
  <c r="I24"/>
  <c r="G24"/>
  <c r="O23"/>
  <c r="K23"/>
  <c r="I23"/>
  <c r="G23"/>
  <c r="O22"/>
  <c r="K22"/>
  <c r="I22"/>
  <c r="G22"/>
  <c r="B5"/>
  <c r="B41"/>
  <c r="C41"/>
  <c r="B42"/>
  <c r="C42"/>
  <c r="B43"/>
  <c r="C43"/>
  <c r="B44"/>
  <c r="C44"/>
  <c r="C45"/>
  <c r="C47"/>
  <c r="C48"/>
  <c r="E25" i="6"/>
  <c r="F25"/>
  <c r="B7"/>
  <c r="H25"/>
  <c r="J25"/>
  <c r="L25"/>
  <c r="M25"/>
  <c r="C53"/>
  <c r="P25"/>
  <c r="D53"/>
  <c r="C12"/>
  <c r="C13"/>
  <c r="C14"/>
  <c r="C15"/>
  <c r="C16"/>
  <c r="Q25"/>
  <c r="E53"/>
  <c r="V25"/>
  <c r="W25"/>
  <c r="F53"/>
  <c r="H53"/>
  <c r="E24"/>
  <c r="F24"/>
  <c r="H24"/>
  <c r="J24"/>
  <c r="L24"/>
  <c r="M24"/>
  <c r="C52"/>
  <c r="P24"/>
  <c r="D52"/>
  <c r="Q24"/>
  <c r="E52"/>
  <c r="V24"/>
  <c r="W24"/>
  <c r="F52"/>
  <c r="H52"/>
  <c r="E23"/>
  <c r="F23"/>
  <c r="H23"/>
  <c r="J23"/>
  <c r="L23"/>
  <c r="M23"/>
  <c r="C51"/>
  <c r="P23"/>
  <c r="D51"/>
  <c r="Q23"/>
  <c r="E51"/>
  <c r="V23"/>
  <c r="W23"/>
  <c r="F51"/>
  <c r="H51"/>
  <c r="C22"/>
  <c r="E22"/>
  <c r="F22"/>
  <c r="H22"/>
  <c r="J22"/>
  <c r="L22"/>
  <c r="M22"/>
  <c r="C50"/>
  <c r="P22"/>
  <c r="D50"/>
  <c r="Q22"/>
  <c r="E50"/>
  <c r="V22"/>
  <c r="W22"/>
  <c r="F50"/>
  <c r="H50"/>
  <c r="N22"/>
  <c r="N23"/>
  <c r="N24"/>
  <c r="N25"/>
  <c r="N26"/>
  <c r="C28"/>
  <c r="P26"/>
  <c r="Q26"/>
  <c r="C30"/>
  <c r="S22"/>
  <c r="U22"/>
  <c r="S23"/>
  <c r="U23"/>
  <c r="S24"/>
  <c r="U24"/>
  <c r="S25"/>
  <c r="U25"/>
  <c r="U26"/>
  <c r="C32"/>
  <c r="C34"/>
  <c r="H26"/>
  <c r="C35"/>
  <c r="C33"/>
  <c r="C31"/>
  <c r="C29"/>
  <c r="S26"/>
  <c r="L26"/>
  <c r="J26"/>
  <c r="E26"/>
  <c r="I26"/>
  <c r="F26"/>
  <c r="B3"/>
  <c r="G26"/>
  <c r="D26"/>
  <c r="O25"/>
  <c r="K25"/>
  <c r="I25"/>
  <c r="G25"/>
  <c r="O24"/>
  <c r="K24"/>
  <c r="I24"/>
  <c r="G24"/>
  <c r="O23"/>
  <c r="K23"/>
  <c r="I23"/>
  <c r="G23"/>
  <c r="O22"/>
  <c r="K22"/>
  <c r="I22"/>
  <c r="G22"/>
  <c r="B5"/>
  <c r="B41"/>
  <c r="C41"/>
  <c r="B42"/>
  <c r="C42"/>
  <c r="B43"/>
  <c r="C43"/>
  <c r="B44"/>
  <c r="C44"/>
  <c r="C45"/>
  <c r="C47"/>
  <c r="C48"/>
  <c r="C42" i="7"/>
  <c r="B42"/>
  <c r="C43"/>
  <c r="B43"/>
  <c r="C44"/>
  <c r="B44"/>
  <c r="C41"/>
  <c r="B41"/>
  <c r="E25"/>
  <c r="F25"/>
  <c r="B7"/>
  <c r="H25"/>
  <c r="J25"/>
  <c r="L25"/>
  <c r="M25"/>
  <c r="C53"/>
  <c r="P25"/>
  <c r="D53"/>
  <c r="C12"/>
  <c r="C13"/>
  <c r="C14"/>
  <c r="C15"/>
  <c r="C16"/>
  <c r="Q25"/>
  <c r="E53"/>
  <c r="V25"/>
  <c r="W25"/>
  <c r="F53"/>
  <c r="H53"/>
  <c r="E24"/>
  <c r="F24"/>
  <c r="H24"/>
  <c r="J24"/>
  <c r="L24"/>
  <c r="M24"/>
  <c r="C52"/>
  <c r="P24"/>
  <c r="D52"/>
  <c r="Q24"/>
  <c r="E52"/>
  <c r="V24"/>
  <c r="W24"/>
  <c r="F52"/>
  <c r="H52"/>
  <c r="E23"/>
  <c r="F23"/>
  <c r="H23"/>
  <c r="J23"/>
  <c r="L23"/>
  <c r="M23"/>
  <c r="C51"/>
  <c r="P23"/>
  <c r="D51"/>
  <c r="Q23"/>
  <c r="E51"/>
  <c r="V23"/>
  <c r="W23"/>
  <c r="F51"/>
  <c r="H51"/>
  <c r="C22"/>
  <c r="E22"/>
  <c r="F22"/>
  <c r="H22"/>
  <c r="J22"/>
  <c r="L22"/>
  <c r="M22"/>
  <c r="C50"/>
  <c r="P22"/>
  <c r="D50"/>
  <c r="Q22"/>
  <c r="E50"/>
  <c r="V22"/>
  <c r="W22"/>
  <c r="F50"/>
  <c r="H50"/>
  <c r="N22"/>
  <c r="N23"/>
  <c r="N24"/>
  <c r="N25"/>
  <c r="N26"/>
  <c r="C28"/>
  <c r="P26"/>
  <c r="Q26"/>
  <c r="C30"/>
  <c r="S22"/>
  <c r="U22"/>
  <c r="S23"/>
  <c r="U23"/>
  <c r="S24"/>
  <c r="U24"/>
  <c r="S25"/>
  <c r="U25"/>
  <c r="U26"/>
  <c r="C32"/>
  <c r="C34"/>
  <c r="H26"/>
  <c r="C45"/>
  <c r="C47"/>
  <c r="C48"/>
  <c r="C35"/>
  <c r="C33"/>
  <c r="C31"/>
  <c r="C29"/>
  <c r="S26"/>
  <c r="L26"/>
  <c r="J26"/>
  <c r="E26"/>
  <c r="I26"/>
  <c r="F26"/>
  <c r="B3"/>
  <c r="G26"/>
  <c r="D26"/>
  <c r="O25"/>
  <c r="K25"/>
  <c r="I25"/>
  <c r="G25"/>
  <c r="O24"/>
  <c r="K24"/>
  <c r="I24"/>
  <c r="G24"/>
  <c r="O23"/>
  <c r="K23"/>
  <c r="I23"/>
  <c r="G23"/>
  <c r="O22"/>
  <c r="K22"/>
  <c r="I22"/>
  <c r="G22"/>
  <c r="B5"/>
  <c r="G12" i="12"/>
  <c r="I26"/>
  <c r="G26"/>
  <c r="E26"/>
  <c r="D26"/>
  <c r="C26"/>
  <c r="B26"/>
  <c r="M25"/>
  <c r="I25"/>
  <c r="H25"/>
  <c r="G25"/>
  <c r="E25"/>
  <c r="D25"/>
  <c r="C25"/>
  <c r="B25"/>
  <c r="I19"/>
  <c r="G19"/>
  <c r="E19"/>
  <c r="D19"/>
  <c r="C19"/>
  <c r="B19"/>
  <c r="M18"/>
  <c r="I18"/>
  <c r="H18"/>
  <c r="G18"/>
  <c r="E18"/>
  <c r="D18"/>
  <c r="C18"/>
  <c r="B18"/>
  <c r="F25"/>
  <c r="F19"/>
  <c r="F18"/>
  <c r="I12"/>
  <c r="E12"/>
  <c r="D12"/>
  <c r="C12"/>
  <c r="B12"/>
  <c r="M11"/>
  <c r="L11"/>
  <c r="K11"/>
  <c r="J11"/>
  <c r="I11"/>
  <c r="H11"/>
  <c r="G11"/>
  <c r="E11"/>
  <c r="D11"/>
  <c r="C11"/>
  <c r="B11"/>
  <c r="I8"/>
  <c r="G8"/>
  <c r="E8"/>
  <c r="D8"/>
  <c r="C8"/>
  <c r="B8"/>
  <c r="M7"/>
  <c r="L7"/>
  <c r="K7"/>
  <c r="J7"/>
  <c r="I7"/>
  <c r="H7"/>
  <c r="G7"/>
  <c r="E7"/>
  <c r="D7"/>
  <c r="F7"/>
  <c r="F8"/>
  <c r="F11"/>
  <c r="F12"/>
  <c r="C7"/>
  <c r="B7"/>
  <c r="E6"/>
  <c r="I6"/>
  <c r="D6"/>
  <c r="F6"/>
  <c r="C6"/>
  <c r="B6"/>
  <c r="F26"/>
  <c r="L25"/>
  <c r="K25"/>
  <c r="J25"/>
  <c r="M24"/>
  <c r="L24"/>
  <c r="K24"/>
  <c r="J24"/>
  <c r="C24"/>
  <c r="B24"/>
  <c r="L18"/>
  <c r="K18"/>
  <c r="J18"/>
  <c r="M17"/>
  <c r="L17"/>
  <c r="K17"/>
  <c r="J17"/>
  <c r="C17"/>
  <c r="D24"/>
  <c r="E24"/>
  <c r="I24"/>
  <c r="F24"/>
  <c r="J6"/>
  <c r="K6"/>
  <c r="L6"/>
  <c r="M6"/>
  <c r="D17"/>
  <c r="E17"/>
  <c r="I17"/>
  <c r="F17"/>
  <c r="D10"/>
  <c r="E10"/>
  <c r="I10"/>
  <c r="F10"/>
  <c r="C10"/>
  <c r="B10"/>
  <c r="M10"/>
  <c r="L10"/>
  <c r="K10"/>
  <c r="J10"/>
  <c r="B17"/>
  <c r="J8"/>
  <c r="K8"/>
  <c r="L8"/>
  <c r="M8"/>
  <c r="J12"/>
  <c r="K12"/>
  <c r="L12"/>
  <c r="M12"/>
  <c r="J19"/>
  <c r="K19"/>
  <c r="L19"/>
  <c r="M19"/>
  <c r="J26"/>
  <c r="K26"/>
  <c r="L26"/>
  <c r="M26"/>
  <c r="C3" i="3"/>
  <c r="C10"/>
  <c r="C7"/>
  <c r="C11"/>
  <c r="C12"/>
  <c r="C13"/>
  <c r="C14"/>
  <c r="B64"/>
  <c r="B65"/>
  <c r="E10"/>
  <c r="B67"/>
  <c r="C38"/>
  <c r="C30"/>
  <c r="C32"/>
  <c r="C34"/>
  <c r="C28"/>
  <c r="C36"/>
  <c r="C25"/>
  <c r="C24"/>
  <c r="F28"/>
  <c r="F29"/>
  <c r="C21"/>
  <c r="C18"/>
  <c r="C19"/>
  <c r="C40"/>
  <c r="C42"/>
  <c r="C49"/>
  <c r="B53"/>
  <c r="C53"/>
  <c r="C51"/>
  <c r="C54"/>
  <c r="C55"/>
  <c r="C57"/>
  <c r="C52"/>
  <c r="C43"/>
  <c r="B21"/>
  <c r="B12"/>
  <c r="B10"/>
  <c r="C5"/>
  <c r="C30" i="1"/>
  <c r="C59"/>
  <c r="B67"/>
  <c r="B65"/>
  <c r="B64"/>
  <c r="C28"/>
  <c r="F28"/>
  <c r="C32"/>
  <c r="F29"/>
  <c r="C21"/>
  <c r="B21"/>
  <c r="C10"/>
  <c r="C12"/>
  <c r="E10"/>
  <c r="C7"/>
  <c r="C11"/>
  <c r="C13"/>
  <c r="C14"/>
  <c r="C5"/>
  <c r="C38"/>
  <c r="C34"/>
  <c r="C36"/>
  <c r="C25"/>
  <c r="C24"/>
  <c r="C18"/>
  <c r="C19"/>
  <c r="C40"/>
  <c r="C42"/>
  <c r="C49"/>
  <c r="C51"/>
  <c r="B53"/>
  <c r="C53"/>
  <c r="C54"/>
  <c r="C55"/>
  <c r="C57"/>
  <c r="C52"/>
  <c r="C43"/>
  <c r="B10"/>
  <c r="B12"/>
  <c r="C3" i="4"/>
  <c r="C10"/>
  <c r="C7"/>
  <c r="C11"/>
  <c r="C12"/>
  <c r="C13"/>
  <c r="C14"/>
  <c r="B64"/>
  <c r="B65"/>
  <c r="E10"/>
  <c r="B67"/>
  <c r="C38"/>
  <c r="C30"/>
  <c r="C32"/>
  <c r="C34"/>
  <c r="C28"/>
  <c r="C36"/>
  <c r="C25"/>
  <c r="C24"/>
  <c r="F28"/>
  <c r="F29"/>
  <c r="C21"/>
  <c r="C18"/>
  <c r="C19"/>
  <c r="C40"/>
  <c r="C42"/>
  <c r="C49"/>
  <c r="B53"/>
  <c r="C53"/>
  <c r="C51"/>
  <c r="C54"/>
  <c r="C55"/>
  <c r="C57"/>
  <c r="C52"/>
  <c r="C43"/>
  <c r="B21"/>
  <c r="B12"/>
  <c r="B10"/>
  <c r="C5"/>
  <c r="C3" i="13"/>
  <c r="C10"/>
  <c r="C7"/>
  <c r="C11"/>
  <c r="C12"/>
  <c r="C13"/>
  <c r="C14"/>
  <c r="B64"/>
  <c r="B65"/>
  <c r="E10"/>
  <c r="B67"/>
  <c r="C59"/>
  <c r="C38"/>
  <c r="C30"/>
  <c r="C32"/>
  <c r="C34"/>
  <c r="C28"/>
  <c r="C36"/>
  <c r="C25"/>
  <c r="C24"/>
  <c r="F28"/>
  <c r="F29"/>
  <c r="C21"/>
  <c r="C18"/>
  <c r="C19"/>
  <c r="C40"/>
  <c r="C42"/>
  <c r="C49"/>
  <c r="B53"/>
  <c r="C53"/>
  <c r="C51"/>
  <c r="C54"/>
  <c r="C55"/>
  <c r="C57"/>
  <c r="C52"/>
  <c r="C43"/>
  <c r="B21"/>
  <c r="B12"/>
  <c r="B10"/>
  <c r="C5"/>
</calcChain>
</file>

<file path=xl/sharedStrings.xml><?xml version="1.0" encoding="utf-8"?>
<sst xmlns="http://schemas.openxmlformats.org/spreadsheetml/2006/main" count="863" uniqueCount="188">
  <si>
    <t>Kdub</t>
    <phoneticPr fontId="8" type="noConversion"/>
  </si>
  <si>
    <t>Simulacra, Reformed</t>
    <phoneticPr fontId="8" type="noConversion"/>
  </si>
  <si>
    <t>Kdub, Optimized</t>
    <phoneticPr fontId="8" type="noConversion"/>
  </si>
  <si>
    <t>Sides</t>
    <phoneticPr fontId="8" type="noConversion"/>
  </si>
  <si>
    <t>Sales Volume</t>
    <phoneticPr fontId="8" type="noConversion"/>
  </si>
  <si>
    <t>Gross GCI</t>
    <phoneticPr fontId="8" type="noConversion"/>
  </si>
  <si>
    <t>Company $</t>
    <phoneticPr fontId="8" type="noConversion"/>
  </si>
  <si>
    <t>Fee Revenues</t>
    <phoneticPr fontId="8" type="noConversion"/>
  </si>
  <si>
    <t>Leads Revenues</t>
    <phoneticPr fontId="8" type="noConversion"/>
  </si>
  <si>
    <t>Total Revenues</t>
    <phoneticPr fontId="8" type="noConversion"/>
  </si>
  <si>
    <t>Total Expenses</t>
    <phoneticPr fontId="8" type="noConversion"/>
  </si>
  <si>
    <t>Profit Margin</t>
    <phoneticPr fontId="8" type="noConversion"/>
  </si>
  <si>
    <t>% Retained</t>
    <phoneticPr fontId="8" type="noConversion"/>
  </si>
  <si>
    <t>Profit/Loss</t>
    <phoneticPr fontId="8" type="noConversion"/>
  </si>
  <si>
    <t>Partner/Top</t>
    <phoneticPr fontId="8" type="noConversion"/>
  </si>
  <si>
    <t>Take Home</t>
    <phoneticPr fontId="8" type="noConversion"/>
  </si>
  <si>
    <t>Tier 1 Agent @ Simulacra (MID)</t>
    <phoneticPr fontId="8" type="noConversion"/>
  </si>
  <si>
    <t>Keeping same % of GCI as Simulacra LG, Reformed</t>
    <phoneticPr fontId="8" type="noConversion"/>
  </si>
  <si>
    <t>(REFORMED)</t>
    <phoneticPr fontId="8" type="noConversion"/>
  </si>
  <si>
    <t>K-Dub Optimized, MID</t>
    <phoneticPr fontId="8" type="noConversion"/>
  </si>
  <si>
    <t>Keep same as Optimized Kdub Large % of GCI</t>
    <phoneticPr fontId="8" type="noConversion"/>
  </si>
  <si>
    <t>Simulacra - Small</t>
    <phoneticPr fontId="8" type="noConversion"/>
  </si>
  <si>
    <t>K-Dub Optimized, SMALL</t>
    <phoneticPr fontId="8" type="noConversion"/>
  </si>
  <si>
    <t>TerraFirma, Optimized</t>
    <phoneticPr fontId="8" type="noConversion"/>
  </si>
  <si>
    <t>Midsize</t>
    <phoneticPr fontId="8" type="noConversion"/>
  </si>
  <si>
    <t>LARGE</t>
    <phoneticPr fontId="8" type="noConversion"/>
  </si>
  <si>
    <t>Small</t>
    <phoneticPr fontId="8" type="noConversion"/>
  </si>
  <si>
    <t>Summary Comparisons</t>
    <phoneticPr fontId="8" type="noConversion"/>
  </si>
  <si>
    <t>(From KW Paper)</t>
    <phoneticPr fontId="8" type="noConversion"/>
  </si>
  <si>
    <t>Total Comp Dollar for Sharing</t>
    <phoneticPr fontId="8" type="noConversion"/>
  </si>
  <si>
    <t>Net GCI</t>
    <phoneticPr fontId="8" type="noConversion"/>
  </si>
  <si>
    <t>Net GCI / Agent</t>
    <phoneticPr fontId="8" type="noConversion"/>
  </si>
  <si>
    <t>Company $</t>
    <phoneticPr fontId="8" type="noConversion"/>
  </si>
  <si>
    <t>Gross GCI</t>
    <phoneticPr fontId="8" type="noConversion"/>
  </si>
  <si>
    <t>Fee Revenues</t>
    <phoneticPr fontId="8" type="noConversion"/>
  </si>
  <si>
    <t>Total Revenues</t>
    <phoneticPr fontId="8" type="noConversion"/>
  </si>
  <si>
    <t>Profit Share Factor</t>
    <phoneticPr fontId="8" type="noConversion"/>
  </si>
  <si>
    <t>Profit Share Factor</t>
    <phoneticPr fontId="8" type="noConversion"/>
  </si>
  <si>
    <t>Agent Paid In</t>
    <phoneticPr fontId="8" type="noConversion"/>
  </si>
  <si>
    <t>Net GCI</t>
    <phoneticPr fontId="8" type="noConversion"/>
  </si>
  <si>
    <t>Franchise Royalties</t>
    <phoneticPr fontId="8" type="noConversion"/>
  </si>
  <si>
    <t>(Some do, and some don't charge this)</t>
    <phoneticPr fontId="8" type="noConversion"/>
  </si>
  <si>
    <t>(Some are and are not part of franchises)</t>
    <phoneticPr fontId="8" type="noConversion"/>
  </si>
  <si>
    <t>Gross GCI / Agent</t>
    <phoneticPr fontId="8" type="noConversion"/>
  </si>
  <si>
    <t>Royalties</t>
    <phoneticPr fontId="8" type="noConversion"/>
  </si>
  <si>
    <t>Net GCI</t>
    <phoneticPr fontId="8" type="noConversion"/>
  </si>
  <si>
    <t>Net GCI/Agent</t>
    <phoneticPr fontId="8" type="noConversion"/>
  </si>
  <si>
    <t>Transaction Fees</t>
    <phoneticPr fontId="8" type="noConversion"/>
  </si>
  <si>
    <t>Per Head Fees</t>
    <phoneticPr fontId="8" type="noConversion"/>
  </si>
  <si>
    <t>Company Dollar</t>
    <phoneticPr fontId="8" type="noConversion"/>
  </si>
  <si>
    <t>Fee Revenues</t>
    <phoneticPr fontId="8" type="noConversion"/>
  </si>
  <si>
    <t>Broker Leads Revenues</t>
    <phoneticPr fontId="8" type="noConversion"/>
  </si>
  <si>
    <t>Profit Margin on Gross GCI</t>
    <phoneticPr fontId="8" type="noConversion"/>
  </si>
  <si>
    <t>Net Take Home</t>
    <phoneticPr fontId="8" type="noConversion"/>
  </si>
  <si>
    <t>Total Revenues</t>
    <phoneticPr fontId="8" type="noConversion"/>
  </si>
  <si>
    <t>Expenses</t>
    <phoneticPr fontId="8" type="noConversion"/>
  </si>
  <si>
    <t>Royalty / Agent</t>
    <phoneticPr fontId="8" type="noConversion"/>
  </si>
  <si>
    <t>1/2 of Simulacra</t>
    <phoneticPr fontId="8" type="noConversion"/>
  </si>
  <si>
    <t>Same as Simulacra</t>
    <phoneticPr fontId="8" type="noConversion"/>
  </si>
  <si>
    <t>3/4 of Simulcra</t>
    <phoneticPr fontId="8" type="noConversion"/>
  </si>
  <si>
    <t>1/2 of Kdub</t>
    <phoneticPr fontId="8" type="noConversion"/>
  </si>
  <si>
    <t>Same as Kdub</t>
    <phoneticPr fontId="8" type="noConversion"/>
  </si>
  <si>
    <t>3/4 of Kdub</t>
    <phoneticPr fontId="8" type="noConversion"/>
  </si>
  <si>
    <t>1/2 of Kdub</t>
    <phoneticPr fontId="8" type="noConversion"/>
  </si>
  <si>
    <t>Transaction Fees</t>
    <phoneticPr fontId="8" type="noConversion"/>
  </si>
  <si>
    <t>Royalty/Agent</t>
    <phoneticPr fontId="8" type="noConversion"/>
  </si>
  <si>
    <t>Total Royalties</t>
    <phoneticPr fontId="8" type="noConversion"/>
  </si>
  <si>
    <t>Profit Sharing</t>
    <phoneticPr fontId="8" type="noConversion"/>
  </si>
  <si>
    <t>Shared %</t>
    <phoneticPr fontId="8" type="noConversion"/>
  </si>
  <si>
    <t>Profit Pool</t>
    <phoneticPr fontId="8" type="noConversion"/>
  </si>
  <si>
    <t>Pre-Sharing P/L</t>
    <phoneticPr fontId="8" type="noConversion"/>
  </si>
  <si>
    <t>Actual P/L</t>
    <phoneticPr fontId="8" type="noConversion"/>
  </si>
  <si>
    <t>Profit Sharing</t>
    <phoneticPr fontId="8" type="noConversion"/>
  </si>
  <si>
    <t>Agent Profit Share</t>
    <phoneticPr fontId="8" type="noConversion"/>
  </si>
  <si>
    <t>As a Group</t>
    <phoneticPr fontId="8" type="noConversion"/>
  </si>
  <si>
    <t>Per-Head Fee</t>
    <phoneticPr fontId="8" type="noConversion"/>
  </si>
  <si>
    <t>Net Take Home Income</t>
    <phoneticPr fontId="8" type="noConversion"/>
  </si>
  <si>
    <t>K-Dub Optimized, LG</t>
    <phoneticPr fontId="8" type="noConversion"/>
  </si>
  <si>
    <t>Law firms range from .5 to 2.5</t>
    <phoneticPr fontId="8" type="noConversion"/>
  </si>
  <si>
    <t>Net Book Value</t>
    <phoneticPr fontId="8" type="noConversion"/>
  </si>
  <si>
    <t>The net-cash basis book value is negligible; set at 2.5%</t>
    <phoneticPr fontId="8" type="noConversion"/>
  </si>
  <si>
    <t>K-Dub, LG</t>
    <phoneticPr fontId="8" type="noConversion"/>
  </si>
  <si>
    <t>Royalty</t>
    <phoneticPr fontId="8" type="noConversion"/>
  </si>
  <si>
    <t>Cap on Royalty</t>
    <phoneticPr fontId="8" type="noConversion"/>
  </si>
  <si>
    <t>Cap on Commission</t>
    <phoneticPr fontId="8" type="noConversion"/>
  </si>
  <si>
    <t>Transaction Fee</t>
    <phoneticPr fontId="8" type="noConversion"/>
  </si>
  <si>
    <t>E&amp;O Insurance Fee</t>
    <phoneticPr fontId="8" type="noConversion"/>
  </si>
  <si>
    <t>Office Use Fee</t>
    <phoneticPr fontId="8" type="noConversion"/>
  </si>
  <si>
    <t>Network Systems</t>
    <phoneticPr fontId="8" type="noConversion"/>
  </si>
  <si>
    <t>Per-Head Fees</t>
    <phoneticPr fontId="8" type="noConversion"/>
  </si>
  <si>
    <t>Transaction Fee</t>
    <phoneticPr fontId="8" type="noConversion"/>
  </si>
  <si>
    <t>Company Share</t>
    <phoneticPr fontId="8" type="noConversion"/>
  </si>
  <si>
    <t>Normal Company Share/Agent</t>
    <phoneticPr fontId="8" type="noConversion"/>
  </si>
  <si>
    <t>Actual Comp Share (Cap)/Agent</t>
    <phoneticPr fontId="8" type="noConversion"/>
  </si>
  <si>
    <t>Total # of Agents</t>
    <phoneticPr fontId="8" type="noConversion"/>
  </si>
  <si>
    <t>Commission Structure</t>
    <phoneticPr fontId="8" type="noConversion"/>
  </si>
  <si>
    <t>Misc. Fees (one-time)</t>
    <phoneticPr fontId="8" type="noConversion"/>
  </si>
  <si>
    <t>Annual</t>
    <phoneticPr fontId="8" type="noConversion"/>
  </si>
  <si>
    <t>Simulacra - Midsize</t>
    <phoneticPr fontId="8" type="noConversion"/>
  </si>
  <si>
    <t>Broker Gen %</t>
    <phoneticPr fontId="8" type="noConversion"/>
  </si>
  <si>
    <t># of Broker-Gen Trans / Person</t>
    <phoneticPr fontId="8" type="noConversion"/>
  </si>
  <si>
    <t>Premium $ / Person</t>
    <phoneticPr fontId="8" type="noConversion"/>
  </si>
  <si>
    <t>Calculated at 150 sq.ft./person at $20/sq.ft.</t>
    <phoneticPr fontId="8" type="noConversion"/>
  </si>
  <si>
    <t>With fewer heads, this will likely be lower; setting at 2.5% of GCI</t>
    <phoneticPr fontId="8" type="noConversion"/>
  </si>
  <si>
    <t>Per Partner Equity</t>
    <phoneticPr fontId="8" type="noConversion"/>
  </si>
  <si>
    <t>Equity</t>
    <phoneticPr fontId="8" type="noConversion"/>
  </si>
  <si>
    <t>Total Value of Firm</t>
    <phoneticPr fontId="8" type="noConversion"/>
  </si>
  <si>
    <t>Earnings Multiple</t>
    <phoneticPr fontId="8" type="noConversion"/>
  </si>
  <si>
    <t>Salary</t>
    <phoneticPr fontId="8" type="noConversion"/>
  </si>
  <si>
    <t>G/A</t>
    <phoneticPr fontId="8" type="noConversion"/>
  </si>
  <si>
    <t>TOTAL</t>
    <phoneticPr fontId="8" type="noConversion"/>
  </si>
  <si>
    <t>Profit/Loss</t>
    <phoneticPr fontId="8" type="noConversion"/>
  </si>
  <si>
    <t>Simulacra</t>
    <phoneticPr fontId="8" type="noConversion"/>
  </si>
  <si>
    <t>(Nicolai Kolding's estimates)</t>
    <phoneticPr fontId="8" type="noConversion"/>
  </si>
  <si>
    <t>Profit Margin on GCI</t>
    <phoneticPr fontId="8" type="noConversion"/>
  </si>
  <si>
    <t># of Broker-Gen Trans</t>
    <phoneticPr fontId="8" type="noConversion"/>
  </si>
  <si>
    <t>Premium</t>
    <phoneticPr fontId="8" type="noConversion"/>
  </si>
  <si>
    <t>Premium $</t>
    <phoneticPr fontId="8" type="noConversion"/>
  </si>
  <si>
    <t>TerraFirma</t>
    <phoneticPr fontId="8" type="noConversion"/>
  </si>
  <si>
    <t>Sales Volume</t>
    <phoneticPr fontId="8" type="noConversion"/>
  </si>
  <si>
    <t>Simulacra - Large</t>
    <phoneticPr fontId="8" type="noConversion"/>
  </si>
  <si>
    <t>Split</t>
    <phoneticPr fontId="8" type="noConversion"/>
  </si>
  <si>
    <t># of Sides</t>
    <phoneticPr fontId="8" type="noConversion"/>
  </si>
  <si>
    <t>% of Total</t>
    <phoneticPr fontId="8" type="noConversion"/>
  </si>
  <si>
    <t># of Agents</t>
    <phoneticPr fontId="8" type="noConversion"/>
  </si>
  <si>
    <t>Total Sides</t>
    <phoneticPr fontId="8" type="noConversion"/>
  </si>
  <si>
    <t>% of Sides</t>
    <phoneticPr fontId="8" type="noConversion"/>
  </si>
  <si>
    <t>GCI/Agent</t>
    <phoneticPr fontId="8" type="noConversion"/>
  </si>
  <si>
    <t>Comp $ Total</t>
    <phoneticPr fontId="8" type="noConversion"/>
  </si>
  <si>
    <t>Comp $/Agent</t>
    <phoneticPr fontId="8" type="noConversion"/>
  </si>
  <si>
    <t>Original, Based on % of GCI</t>
    <phoneticPr fontId="8" type="noConversion"/>
  </si>
  <si>
    <t>Revenues</t>
    <phoneticPr fontId="8" type="noConversion"/>
  </si>
  <si>
    <t>Expenses</t>
    <phoneticPr fontId="8" type="noConversion"/>
  </si>
  <si>
    <t>TOTAL EXPENSES</t>
    <phoneticPr fontId="8" type="noConversion"/>
  </si>
  <si>
    <t>Profit/Loss</t>
    <phoneticPr fontId="8" type="noConversion"/>
  </si>
  <si>
    <t>Profit Margin on GCI</t>
    <phoneticPr fontId="8" type="noConversion"/>
  </si>
  <si>
    <t>Tier 1 Agent @ Simulacra (Large)</t>
    <phoneticPr fontId="8" type="noConversion"/>
  </si>
  <si>
    <t>Tier 1 Agent Earnings</t>
    <phoneticPr fontId="8" type="noConversion"/>
  </si>
  <si>
    <t>Tier 2 Agent Earnings</t>
    <phoneticPr fontId="8" type="noConversion"/>
  </si>
  <si>
    <t>Tier 3 Agent Earnings</t>
    <phoneticPr fontId="8" type="noConversion"/>
  </si>
  <si>
    <t>Tier 4 Agent Earnings</t>
    <phoneticPr fontId="8" type="noConversion"/>
  </si>
  <si>
    <t># of Partners</t>
    <phoneticPr fontId="8" type="noConversion"/>
  </si>
  <si>
    <t>Per Partner Profit</t>
    <phoneticPr fontId="8" type="noConversion"/>
  </si>
  <si>
    <t>Assumes all Seller Rep comes from a Partner or Assoc</t>
    <phoneticPr fontId="8" type="noConversion"/>
  </si>
  <si>
    <t>% of Assoc. Gen Listings</t>
    <phoneticPr fontId="8" type="noConversion"/>
  </si>
  <si>
    <t>Partner Revenues</t>
    <phoneticPr fontId="8" type="noConversion"/>
  </si>
  <si>
    <t>% of Partner Listings</t>
    <phoneticPr fontId="8" type="noConversion"/>
  </si>
  <si>
    <t>LeadGen $$ to Partners</t>
    <phoneticPr fontId="8" type="noConversion"/>
  </si>
  <si>
    <t>Per Partner Leadgen $$</t>
    <phoneticPr fontId="8" type="noConversion"/>
  </si>
  <si>
    <t>According to Ines, 25% GCI is marketing; I'm assuming economies of scale</t>
    <phoneticPr fontId="8" type="noConversion"/>
  </si>
  <si>
    <t>If $50K per position, this is</t>
    <phoneticPr fontId="8" type="noConversion"/>
  </si>
  <si>
    <t>Total People, Incl. Partners</t>
    <phoneticPr fontId="8" type="noConversion"/>
  </si>
  <si>
    <t>Leadgen Bonus/Trans</t>
    <phoneticPr fontId="8" type="noConversion"/>
  </si>
  <si>
    <t>Listings/Partner</t>
    <phoneticPr fontId="8" type="noConversion"/>
  </si>
  <si>
    <t>Buyer Rep</t>
    <phoneticPr fontId="8" type="noConversion"/>
  </si>
  <si>
    <t>Seller Rep</t>
    <phoneticPr fontId="8" type="noConversion"/>
  </si>
  <si>
    <t>$$ from Buyer Rep</t>
    <phoneticPr fontId="8" type="noConversion"/>
  </si>
  <si>
    <t>$$ from Seller Rep</t>
    <phoneticPr fontId="8" type="noConversion"/>
  </si>
  <si>
    <t>TOTAL</t>
    <phoneticPr fontId="8" type="noConversion"/>
  </si>
  <si>
    <t>Expenses</t>
    <phoneticPr fontId="8" type="noConversion"/>
  </si>
  <si>
    <t>LeadGen Bonus</t>
    <phoneticPr fontId="8" type="noConversion"/>
  </si>
  <si>
    <t>LeadGen Bonus $</t>
    <phoneticPr fontId="8" type="noConversion"/>
  </si>
  <si>
    <t>Total COS Expense</t>
    <phoneticPr fontId="8" type="noConversion"/>
  </si>
  <si>
    <t>Trans Filled / Assoc</t>
    <phoneticPr fontId="8" type="noConversion"/>
  </si>
  <si>
    <t>Total # of Transactions</t>
    <phoneticPr fontId="8" type="noConversion"/>
  </si>
  <si>
    <t># of Assoc. Required</t>
    <phoneticPr fontId="8" type="noConversion"/>
  </si>
  <si>
    <t>Avg. Salary</t>
    <phoneticPr fontId="8" type="noConversion"/>
  </si>
  <si>
    <t>Associate HR Cost</t>
    <phoneticPr fontId="8" type="noConversion"/>
  </si>
  <si>
    <t>Corp. Marketing</t>
    <phoneticPr fontId="8" type="noConversion"/>
  </si>
  <si>
    <t>Listings Marketing</t>
    <phoneticPr fontId="8" type="noConversion"/>
  </si>
  <si>
    <t>Support Staff Payroll</t>
    <phoneticPr fontId="8" type="noConversion"/>
  </si>
  <si>
    <t>headcount</t>
    <phoneticPr fontId="8" type="noConversion"/>
  </si>
  <si>
    <t>Benefits, Etc. (30% Payroll)</t>
    <phoneticPr fontId="8" type="noConversion"/>
  </si>
  <si>
    <t>TOTAL</t>
    <phoneticPr fontId="8" type="noConversion"/>
  </si>
  <si>
    <t>Double the traditional; more brokerage-gen business</t>
    <phoneticPr fontId="8" type="noConversion"/>
  </si>
  <si>
    <t>Avg Home Price</t>
    <phoneticPr fontId="8" type="noConversion"/>
  </si>
  <si>
    <t>Avg Commission/Side</t>
    <phoneticPr fontId="8" type="noConversion"/>
  </si>
  <si>
    <t>Avg GCI Per Side</t>
    <phoneticPr fontId="8" type="noConversion"/>
  </si>
  <si>
    <t>Transaction Sides</t>
    <phoneticPr fontId="8" type="noConversion"/>
  </si>
  <si>
    <t>Agents by Quartile</t>
    <phoneticPr fontId="8" type="noConversion"/>
  </si>
  <si>
    <t>Tier 1</t>
    <phoneticPr fontId="8" type="noConversion"/>
  </si>
  <si>
    <t>Tier 2</t>
    <phoneticPr fontId="8" type="noConversion"/>
  </si>
  <si>
    <t>Tier 3</t>
    <phoneticPr fontId="8" type="noConversion"/>
  </si>
  <si>
    <t>Tier 4</t>
    <phoneticPr fontId="8" type="noConversion"/>
  </si>
  <si>
    <t>Total #</t>
    <phoneticPr fontId="8" type="noConversion"/>
  </si>
  <si>
    <t>TOTAL</t>
    <phoneticPr fontId="8" type="noConversion"/>
  </si>
  <si>
    <t>Occupancy Cost</t>
    <phoneticPr fontId="8" type="noConversion"/>
  </si>
  <si>
    <t>Marketing</t>
    <phoneticPr fontId="8" type="noConversion"/>
  </si>
</sst>
</file>

<file path=xl/styles.xml><?xml version="1.0" encoding="utf-8"?>
<styleSheet xmlns="http://schemas.openxmlformats.org/spreadsheetml/2006/main">
  <numFmts count="43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&quot;$&quot;* #,##0_);_(&quot;$&quot;* \(#,##0\);_(&quot;$&quot;* &quot;-&quot;??_);_(@_)"/>
    <numFmt numFmtId="168" formatCode="_(* #,##0.0_);_(* \(#,##0.0\);_(* &quot;-&quot;??_);_(@_)"/>
    <numFmt numFmtId="169" formatCode="_(* #,##0_);_(* \(#,##0\);_(* &quot;-&quot;??_);_(@_)"/>
    <numFmt numFmtId="170" formatCode="_(* #,##0.0_);_(* \(#,##0.0\);_(* &quot;-&quot;??_);_(@_)"/>
    <numFmt numFmtId="171" formatCode="_(* #,##0_);_(* \(#,##0\);_(* &quot;-&quot;??_);_(@_)"/>
    <numFmt numFmtId="173" formatCode="&quot;$&quot;#,##0.0_);[Red]\(&quot;$&quot;#,##0.0\)"/>
    <numFmt numFmtId="174" formatCode="&quot;$&quot;#,##0_);[Red]\(&quot;$&quot;#,##0\)"/>
    <numFmt numFmtId="175" formatCode="0.0%"/>
    <numFmt numFmtId="176" formatCode="0.00%"/>
    <numFmt numFmtId="177" formatCode="_(&quot;$&quot;* #,##0.0_);_(&quot;$&quot;* \(#,##0.0\);_(&quot;$&quot;* &quot;-&quot;??_);_(@_)"/>
    <numFmt numFmtId="178" formatCode="_(&quot;$&quot;* #,##0_);_(&quot;$&quot;* \(#,##0\);_(&quot;$&quot;* &quot;-&quot;??_);_(@_)"/>
    <numFmt numFmtId="180" formatCode="_(&quot;$&quot;* #,##0_);_(&quot;$&quot;* \(#,##0\);_(&quot;$&quot;* &quot;-&quot;??_);_(@_)"/>
    <numFmt numFmtId="182" formatCode="_(&quot;$&quot;* #,##0_);_(&quot;$&quot;* \(#,##0\);_(&quot;$&quot;* &quot;-&quot;??_);_(@_)"/>
    <numFmt numFmtId="183" formatCode="_(* #,##0_);_(* \(#,##0\);_(* &quot;-&quot;??_);_(@_)"/>
    <numFmt numFmtId="185" formatCode="_(&quot;$&quot;* #,##0_);_(&quot;$&quot;* \(#,##0\);_(&quot;$&quot;* &quot;-&quot;??_);_(@_)"/>
    <numFmt numFmtId="186" formatCode="_(&quot;$&quot;* #,##0_);_(&quot;$&quot;* \(#,##0\);_(&quot;$&quot;* &quot;-&quot;??_);_(@_)"/>
    <numFmt numFmtId="187" formatCode="_(&quot;$&quot;* #,##0.00_);_(&quot;$&quot;* \(#,##0.00\);_(&quot;$&quot;* &quot;-&quot;??_);_(@_)"/>
    <numFmt numFmtId="188" formatCode="_(&quot;$&quot;* #,##0_);_(&quot;$&quot;* \(#,##0\);_(&quot;$&quot;* &quot;-&quot;??_);_(@_)"/>
    <numFmt numFmtId="189" formatCode="_(&quot;$&quot;* #,##0_);_(&quot;$&quot;* \(#,##0\);_(&quot;$&quot;* &quot;-&quot;??_);_(@_)"/>
    <numFmt numFmtId="190" formatCode="0.0%"/>
    <numFmt numFmtId="191" formatCode="_(&quot;$&quot;* #,##0_);_(&quot;$&quot;* \(#,##0\);_(&quot;$&quot;* &quot;-&quot;??_);_(@_)"/>
    <numFmt numFmtId="192" formatCode="_(&quot;$&quot;* #,##0_);_(&quot;$&quot;* \(#,##0\);_(&quot;$&quot;* &quot;-&quot;??_);_(@_)"/>
    <numFmt numFmtId="193" formatCode="0.00%"/>
    <numFmt numFmtId="195" formatCode="_(&quot;$&quot;* #,##0_);_(&quot;$&quot;* \(#,##0\);_(&quot;$&quot;* &quot;-&quot;??_);_(@_)"/>
    <numFmt numFmtId="196" formatCode="0.0%"/>
    <numFmt numFmtId="197" formatCode="_(&quot;$&quot;* #,##0_);_(&quot;$&quot;* \(#,##0\);_(&quot;$&quot;* &quot;-&quot;??_);_(@_)"/>
    <numFmt numFmtId="198" formatCode="0.0%"/>
    <numFmt numFmtId="199" formatCode="0.00%"/>
    <numFmt numFmtId="200" formatCode="_(&quot;$&quot;* #,##0_);_(&quot;$&quot;* \(#,##0\);_(&quot;$&quot;* &quot;-&quot;??_);_(@_)"/>
    <numFmt numFmtId="201" formatCode="_(* #,##0.000_);_(* \(#,##0.000\);_(* &quot;-&quot;??_);_(@_)"/>
    <numFmt numFmtId="203" formatCode="_(* #,##0.0000_);_(* \(#,##0.0000\);_(* &quot;-&quot;??_);_(@_)"/>
    <numFmt numFmtId="204" formatCode="_(&quot;$&quot;* #,##0_);_(&quot;$&quot;* \(#,##0\);_(&quot;$&quot;* &quot;-&quot;??_);_(@_)"/>
    <numFmt numFmtId="205" formatCode="0.0%"/>
    <numFmt numFmtId="206" formatCode="0.00%"/>
    <numFmt numFmtId="207" formatCode="_(&quot;$&quot;* #,##0_);_(&quot;$&quot;* \(#,##0\);_(&quot;$&quot;* &quot;-&quot;??_);_(@_)"/>
    <numFmt numFmtId="208" formatCode="0.0%"/>
  </numFmts>
  <fonts count="11">
    <font>
      <sz val="10"/>
      <name val="Verdana"/>
    </font>
    <font>
      <b/>
      <sz val="10"/>
      <name val="Verdana"/>
    </font>
    <font>
      <i/>
      <sz val="10"/>
      <name val="Verdana"/>
    </font>
    <font>
      <sz val="10"/>
      <name val="Verdana"/>
    </font>
    <font>
      <b/>
      <sz val="10"/>
      <name val="Verdana"/>
    </font>
    <font>
      <sz val="10"/>
      <name val="Verdana"/>
    </font>
    <font>
      <b/>
      <sz val="10"/>
      <name val="Verdana"/>
    </font>
    <font>
      <sz val="10"/>
      <name val="Verdana"/>
    </font>
    <font>
      <sz val="8"/>
      <name val="Verdana"/>
    </font>
    <font>
      <u/>
      <sz val="10"/>
      <name val="Verdana"/>
    </font>
    <font>
      <b/>
      <u/>
      <sz val="14"/>
      <name val="Verdana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139">
    <xf numFmtId="0" fontId="0" fillId="0" borderId="0" xfId="0"/>
    <xf numFmtId="6" fontId="0" fillId="0" borderId="0" xfId="0" applyNumberFormat="1"/>
    <xf numFmtId="10" fontId="0" fillId="0" borderId="0" xfId="0" applyNumberFormat="1"/>
    <xf numFmtId="9" fontId="0" fillId="0" borderId="0" xfId="2" applyFont="1"/>
    <xf numFmtId="164" fontId="0" fillId="0" borderId="0" xfId="2" applyNumberFormat="1" applyFont="1"/>
    <xf numFmtId="6" fontId="0" fillId="0" borderId="0" xfId="0" applyNumberFormat="1"/>
    <xf numFmtId="165" fontId="0" fillId="0" borderId="0" xfId="1" applyNumberFormat="1" applyFont="1"/>
    <xf numFmtId="165" fontId="0" fillId="0" borderId="0" xfId="0" applyNumberFormat="1"/>
    <xf numFmtId="0" fontId="0" fillId="0" borderId="1" xfId="0" applyBorder="1"/>
    <xf numFmtId="9" fontId="0" fillId="0" borderId="1" xfId="2" applyFont="1" applyBorder="1"/>
    <xf numFmtId="164" fontId="0" fillId="0" borderId="1" xfId="2" applyNumberFormat="1" applyFont="1" applyBorder="1"/>
    <xf numFmtId="6" fontId="0" fillId="0" borderId="1" xfId="0" applyNumberFormat="1" applyBorder="1"/>
    <xf numFmtId="165" fontId="0" fillId="0" borderId="1" xfId="0" applyNumberFormat="1" applyBorder="1"/>
    <xf numFmtId="10" fontId="0" fillId="0" borderId="0" xfId="2" applyNumberFormat="1" applyFont="1"/>
    <xf numFmtId="9" fontId="0" fillId="0" borderId="0" xfId="0" applyNumberFormat="1"/>
    <xf numFmtId="6" fontId="0" fillId="0" borderId="0" xfId="0" applyNumberFormat="1"/>
    <xf numFmtId="6" fontId="0" fillId="0" borderId="1" xfId="0" applyNumberFormat="1" applyBorder="1"/>
    <xf numFmtId="6" fontId="6" fillId="0" borderId="0" xfId="0" applyNumberFormat="1" applyFont="1"/>
    <xf numFmtId="6" fontId="6" fillId="0" borderId="0" xfId="0" applyNumberFormat="1" applyFont="1"/>
    <xf numFmtId="0" fontId="6" fillId="0" borderId="0" xfId="0" applyFont="1"/>
    <xf numFmtId="164" fontId="6" fillId="0" borderId="0" xfId="2" applyNumberFormat="1" applyFont="1"/>
    <xf numFmtId="0" fontId="0" fillId="0" borderId="0" xfId="0" quotePrefix="1"/>
    <xf numFmtId="6" fontId="0" fillId="0" borderId="0" xfId="0" applyNumberFormat="1"/>
    <xf numFmtId="6" fontId="0" fillId="0" borderId="0" xfId="0" applyNumberFormat="1"/>
    <xf numFmtId="43" fontId="0" fillId="0" borderId="0" xfId="3" applyFont="1"/>
    <xf numFmtId="169" fontId="0" fillId="0" borderId="0" xfId="3" applyNumberFormat="1" applyFont="1"/>
    <xf numFmtId="169" fontId="0" fillId="0" borderId="0" xfId="0" applyNumberFormat="1"/>
    <xf numFmtId="165" fontId="0" fillId="0" borderId="0" xfId="1" applyNumberFormat="1" applyFont="1"/>
    <xf numFmtId="0" fontId="0" fillId="0" borderId="0" xfId="0" applyAlignment="1">
      <alignment horizontal="left" indent="1"/>
    </xf>
    <xf numFmtId="165" fontId="6" fillId="0" borderId="0" xfId="0" applyNumberFormat="1" applyFont="1"/>
    <xf numFmtId="169" fontId="0" fillId="0" borderId="0" xfId="3" applyNumberFormat="1" applyFont="1"/>
    <xf numFmtId="165" fontId="0" fillId="0" borderId="0" xfId="1" applyNumberFormat="1" applyFont="1"/>
    <xf numFmtId="0" fontId="0" fillId="0" borderId="0" xfId="0" applyAlignment="1">
      <alignment horizontal="left"/>
    </xf>
    <xf numFmtId="169" fontId="0" fillId="0" borderId="0" xfId="3" applyNumberFormat="1" applyFont="1"/>
    <xf numFmtId="165" fontId="0" fillId="0" borderId="1" xfId="1" applyNumberFormat="1" applyFont="1" applyBorder="1"/>
    <xf numFmtId="164" fontId="0" fillId="0" borderId="0" xfId="2" applyNumberFormat="1" applyFont="1"/>
    <xf numFmtId="0" fontId="0" fillId="0" borderId="0" xfId="0" applyAlignment="1">
      <alignment horizontal="left" indent="2"/>
    </xf>
    <xf numFmtId="165" fontId="0" fillId="0" borderId="0" xfId="1" applyNumberFormat="1" applyFont="1" applyBorder="1"/>
    <xf numFmtId="0" fontId="4" fillId="0" borderId="0" xfId="0" applyFont="1" applyAlignment="1">
      <alignment horizontal="left"/>
    </xf>
    <xf numFmtId="0" fontId="4" fillId="0" borderId="0" xfId="0" applyFont="1"/>
    <xf numFmtId="165" fontId="4" fillId="0" borderId="0" xfId="1" applyNumberFormat="1" applyFont="1"/>
    <xf numFmtId="165" fontId="0" fillId="0" borderId="2" xfId="1" applyNumberFormat="1" applyFont="1" applyBorder="1"/>
    <xf numFmtId="6" fontId="0" fillId="0" borderId="2" xfId="0" applyNumberFormat="1" applyBorder="1"/>
    <xf numFmtId="0" fontId="0" fillId="0" borderId="2" xfId="0" applyBorder="1"/>
    <xf numFmtId="165" fontId="0" fillId="0" borderId="0" xfId="1" applyNumberFormat="1" applyFont="1"/>
    <xf numFmtId="165" fontId="0" fillId="0" borderId="0" xfId="0" applyNumberFormat="1"/>
    <xf numFmtId="169" fontId="0" fillId="0" borderId="0" xfId="0" applyNumberFormat="1"/>
    <xf numFmtId="165" fontId="4" fillId="0" borderId="0" xfId="0" applyNumberFormat="1" applyFont="1"/>
    <xf numFmtId="165" fontId="4" fillId="0" borderId="0" xfId="1" applyNumberFormat="1" applyFont="1"/>
    <xf numFmtId="171" fontId="0" fillId="0" borderId="0" xfId="3" applyNumberFormat="1" applyFont="1"/>
    <xf numFmtId="9" fontId="0" fillId="0" borderId="1" xfId="0" applyNumberFormat="1" applyBorder="1"/>
    <xf numFmtId="0" fontId="0" fillId="0" borderId="0" xfId="0" applyAlignment="1">
      <alignment vertical="top" wrapText="1"/>
    </xf>
    <xf numFmtId="0" fontId="9" fillId="0" borderId="0" xfId="0" applyFont="1" applyAlignment="1">
      <alignment horizontal="center" vertical="top" wrapText="1"/>
    </xf>
    <xf numFmtId="174" fontId="0" fillId="0" borderId="0" xfId="0" applyNumberFormat="1"/>
    <xf numFmtId="0" fontId="2" fillId="0" borderId="0" xfId="0" applyFont="1"/>
    <xf numFmtId="0" fontId="1" fillId="0" borderId="0" xfId="0" applyFont="1"/>
    <xf numFmtId="0" fontId="1" fillId="0" borderId="0" xfId="0" applyFont="1" applyAlignment="1">
      <alignment horizontal="left"/>
    </xf>
    <xf numFmtId="44" fontId="0" fillId="0" borderId="0" xfId="1" applyFont="1"/>
    <xf numFmtId="180" fontId="1" fillId="0" borderId="0" xfId="1" applyNumberFormat="1" applyFont="1"/>
    <xf numFmtId="174" fontId="0" fillId="0" borderId="1" xfId="0" applyNumberFormat="1" applyBorder="1"/>
    <xf numFmtId="168" fontId="0" fillId="2" borderId="0" xfId="3" applyNumberFormat="1" applyFont="1" applyFill="1"/>
    <xf numFmtId="168" fontId="0" fillId="5" borderId="0" xfId="0" applyNumberFormat="1" applyFill="1"/>
    <xf numFmtId="182" fontId="0" fillId="0" borderId="0" xfId="1" applyNumberFormat="1" applyFont="1" applyAlignment="1">
      <alignment horizontal="left"/>
    </xf>
    <xf numFmtId="185" fontId="0" fillId="0" borderId="0" xfId="1" applyNumberFormat="1" applyFont="1"/>
    <xf numFmtId="186" fontId="0" fillId="0" borderId="0" xfId="1" applyNumberFormat="1" applyFont="1"/>
    <xf numFmtId="0" fontId="9" fillId="0" borderId="0" xfId="0" applyFont="1" applyAlignment="1">
      <alignment horizontal="left"/>
    </xf>
    <xf numFmtId="0" fontId="9" fillId="0" borderId="0" xfId="0" applyFont="1"/>
    <xf numFmtId="0" fontId="3" fillId="0" borderId="0" xfId="0" applyFont="1" applyAlignment="1">
      <alignment horizontal="left"/>
    </xf>
    <xf numFmtId="188" fontId="0" fillId="0" borderId="1" xfId="0" applyNumberFormat="1" applyBorder="1"/>
    <xf numFmtId="165" fontId="3" fillId="0" borderId="0" xfId="0" applyNumberFormat="1" applyFont="1"/>
    <xf numFmtId="189" fontId="0" fillId="0" borderId="0" xfId="0" applyNumberFormat="1"/>
    <xf numFmtId="189" fontId="0" fillId="0" borderId="1" xfId="0" applyNumberFormat="1" applyBorder="1"/>
    <xf numFmtId="190" fontId="0" fillId="0" borderId="0" xfId="2" applyNumberFormat="1" applyFont="1"/>
    <xf numFmtId="0" fontId="0" fillId="0" borderId="0" xfId="0" applyFill="1"/>
    <xf numFmtId="186" fontId="0" fillId="0" borderId="0" xfId="1" applyNumberFormat="1" applyFont="1" applyFill="1"/>
    <xf numFmtId="185" fontId="0" fillId="0" borderId="0" xfId="0" applyNumberFormat="1" applyFill="1"/>
    <xf numFmtId="0" fontId="9" fillId="0" borderId="0" xfId="0" applyFont="1" applyFill="1" applyAlignment="1">
      <alignment horizontal="center" vertical="top" wrapText="1"/>
    </xf>
    <xf numFmtId="0" fontId="0" fillId="0" borderId="1" xfId="0" applyFill="1" applyBorder="1"/>
    <xf numFmtId="189" fontId="1" fillId="0" borderId="0" xfId="1" applyNumberFormat="1" applyFont="1" applyFill="1"/>
    <xf numFmtId="175" fontId="0" fillId="0" borderId="0" xfId="2" applyNumberFormat="1" applyFont="1" applyFill="1"/>
    <xf numFmtId="165" fontId="0" fillId="0" borderId="0" xfId="0" applyNumberFormat="1" applyFill="1"/>
    <xf numFmtId="6" fontId="0" fillId="0" borderId="0" xfId="0" applyNumberFormat="1" applyFill="1"/>
    <xf numFmtId="6" fontId="0" fillId="0" borderId="1" xfId="0" applyNumberFormat="1" applyFill="1" applyBorder="1"/>
    <xf numFmtId="165" fontId="6" fillId="0" borderId="0" xfId="0" applyNumberFormat="1" applyFont="1" applyFill="1"/>
    <xf numFmtId="189" fontId="6" fillId="0" borderId="0" xfId="0" applyNumberFormat="1" applyFont="1" applyFill="1"/>
    <xf numFmtId="164" fontId="6" fillId="0" borderId="0" xfId="2" applyNumberFormat="1" applyFont="1" applyFill="1"/>
    <xf numFmtId="164" fontId="3" fillId="0" borderId="0" xfId="2" applyNumberFormat="1" applyFont="1" applyFill="1"/>
    <xf numFmtId="189" fontId="3" fillId="0" borderId="0" xfId="2" applyNumberFormat="1" applyFont="1" applyFill="1"/>
    <xf numFmtId="191" fontId="3" fillId="0" borderId="0" xfId="1" applyNumberFormat="1" applyFont="1" applyFill="1"/>
    <xf numFmtId="191" fontId="0" fillId="0" borderId="0" xfId="1" applyNumberFormat="1" applyFont="1"/>
    <xf numFmtId="191" fontId="0" fillId="0" borderId="1" xfId="1" applyNumberFormat="1" applyFont="1" applyBorder="1"/>
    <xf numFmtId="191" fontId="1" fillId="0" borderId="0" xfId="1" applyNumberFormat="1" applyFont="1" applyFill="1"/>
    <xf numFmtId="6" fontId="1" fillId="0" borderId="0" xfId="0" applyNumberFormat="1" applyFont="1"/>
    <xf numFmtId="44" fontId="3" fillId="0" borderId="0" xfId="1" applyFont="1"/>
    <xf numFmtId="165" fontId="3" fillId="0" borderId="0" xfId="0" applyNumberFormat="1" applyFont="1" applyBorder="1"/>
    <xf numFmtId="192" fontId="3" fillId="0" borderId="0" xfId="1" applyNumberFormat="1" applyFont="1" applyBorder="1"/>
    <xf numFmtId="0" fontId="3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189" fontId="0" fillId="0" borderId="0" xfId="0" applyNumberFormat="1" applyBorder="1"/>
    <xf numFmtId="188" fontId="0" fillId="0" borderId="0" xfId="0" applyNumberFormat="1" applyBorder="1"/>
    <xf numFmtId="0" fontId="0" fillId="5" borderId="0" xfId="0" applyFill="1"/>
    <xf numFmtId="0" fontId="0" fillId="5" borderId="1" xfId="0" applyFill="1" applyBorder="1"/>
    <xf numFmtId="189" fontId="3" fillId="0" borderId="1" xfId="2" applyNumberFormat="1" applyFont="1" applyFill="1" applyBorder="1"/>
    <xf numFmtId="185" fontId="0" fillId="0" borderId="0" xfId="1" applyNumberFormat="1" applyFont="1" applyBorder="1"/>
    <xf numFmtId="0" fontId="3" fillId="0" borderId="0" xfId="0" applyFont="1" applyBorder="1"/>
    <xf numFmtId="165" fontId="1" fillId="0" borderId="0" xfId="0" applyNumberFormat="1" applyFont="1"/>
    <xf numFmtId="196" fontId="0" fillId="0" borderId="0" xfId="2" applyNumberFormat="1" applyFont="1" applyFill="1"/>
    <xf numFmtId="197" fontId="0" fillId="0" borderId="0" xfId="1" applyNumberFormat="1" applyFont="1" applyFill="1"/>
    <xf numFmtId="43" fontId="3" fillId="0" borderId="0" xfId="3" applyFont="1" applyFill="1"/>
    <xf numFmtId="164" fontId="6" fillId="0" borderId="0" xfId="2" applyNumberFormat="1" applyFont="1" applyFill="1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 applyBorder="1"/>
    <xf numFmtId="164" fontId="3" fillId="0" borderId="0" xfId="2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178" fontId="3" fillId="0" borderId="0" xfId="1" applyNumberFormat="1" applyFont="1" applyFill="1" applyBorder="1"/>
    <xf numFmtId="6" fontId="3" fillId="0" borderId="0" xfId="0" applyNumberFormat="1" applyFont="1" applyBorder="1"/>
    <xf numFmtId="192" fontId="0" fillId="0" borderId="0" xfId="1" applyNumberFormat="1" applyFont="1" applyBorder="1"/>
    <xf numFmtId="192" fontId="1" fillId="0" borderId="0" xfId="1" applyNumberFormat="1" applyFont="1" applyBorder="1"/>
    <xf numFmtId="198" fontId="0" fillId="0" borderId="0" xfId="2" applyNumberFormat="1" applyFont="1"/>
    <xf numFmtId="199" fontId="0" fillId="0" borderId="0" xfId="2" applyNumberFormat="1" applyFont="1"/>
    <xf numFmtId="200" fontId="0" fillId="0" borderId="0" xfId="1" applyNumberFormat="1" applyFont="1"/>
    <xf numFmtId="200" fontId="6" fillId="0" borderId="0" xfId="0" applyNumberFormat="1" applyFont="1"/>
    <xf numFmtId="200" fontId="3" fillId="0" borderId="0" xfId="1" applyNumberFormat="1" applyFont="1"/>
    <xf numFmtId="200" fontId="1" fillId="0" borderId="0" xfId="1" applyNumberFormat="1" applyFont="1"/>
    <xf numFmtId="178" fontId="3" fillId="0" borderId="0" xfId="1" applyNumberFormat="1" applyFont="1"/>
    <xf numFmtId="200" fontId="1" fillId="0" borderId="0" xfId="0" applyNumberFormat="1" applyFont="1"/>
    <xf numFmtId="185" fontId="0" fillId="0" borderId="1" xfId="0" applyNumberFormat="1" applyFill="1" applyBorder="1"/>
    <xf numFmtId="9" fontId="0" fillId="5" borderId="0" xfId="0" applyNumberFormat="1" applyFill="1"/>
    <xf numFmtId="9" fontId="0" fillId="5" borderId="1" xfId="0" applyNumberFormat="1" applyFill="1" applyBorder="1"/>
    <xf numFmtId="10" fontId="0" fillId="5" borderId="0" xfId="0" applyNumberFormat="1" applyFill="1"/>
    <xf numFmtId="203" fontId="3" fillId="0" borderId="0" xfId="3" applyNumberFormat="1" applyFont="1" applyBorder="1"/>
    <xf numFmtId="203" fontId="3" fillId="0" borderId="0" xfId="3" applyNumberFormat="1" applyFont="1" applyFill="1"/>
    <xf numFmtId="206" fontId="0" fillId="0" borderId="0" xfId="2" applyNumberFormat="1" applyFont="1"/>
    <xf numFmtId="207" fontId="0" fillId="0" borderId="0" xfId="1" applyNumberFormat="1" applyFont="1"/>
    <xf numFmtId="208" fontId="0" fillId="0" borderId="0" xfId="2" applyNumberFormat="1" applyFont="1"/>
    <xf numFmtId="183" fontId="0" fillId="0" borderId="0" xfId="3" applyNumberFormat="1" applyFont="1"/>
    <xf numFmtId="0" fontId="10" fillId="0" borderId="0" xfId="0" applyFont="1"/>
  </cellXfs>
  <cellStyles count="4">
    <cellStyle name="Comma" xfId="3" builtinId="3"/>
    <cellStyle name="Currency" xfId="1" builtinId="4"/>
    <cellStyle name="Normal" xfId="0" builtinId="0"/>
    <cellStyle name="Percent" xfId="2" builtinId="5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14" Type="http://schemas.openxmlformats.org/officeDocument/2006/relationships/theme" Target="theme/theme1.xml"/><Relationship Id="rId4" Type="http://schemas.openxmlformats.org/officeDocument/2006/relationships/worksheet" Target="worksheets/sheet4.xml"/><Relationship Id="rId7" Type="http://schemas.openxmlformats.org/officeDocument/2006/relationships/worksheet" Target="worksheets/sheet7.xml"/><Relationship Id="rId11" Type="http://schemas.openxmlformats.org/officeDocument/2006/relationships/worksheet" Target="worksheets/sheet1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6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0" Type="http://schemas.openxmlformats.org/officeDocument/2006/relationships/worksheet" Target="worksheets/sheet10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9" Type="http://schemas.openxmlformats.org/officeDocument/2006/relationships/worksheet" Target="worksheets/sheet9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M26"/>
  <sheetViews>
    <sheetView tabSelected="1" workbookViewId="0">
      <selection activeCell="B3" sqref="B3"/>
    </sheetView>
  </sheetViews>
  <sheetFormatPr baseColWidth="10" defaultRowHeight="13"/>
  <cols>
    <col min="1" max="1" width="21.42578125" customWidth="1"/>
    <col min="2" max="2" width="8.42578125" bestFit="1" customWidth="1"/>
    <col min="3" max="3" width="14" bestFit="1" customWidth="1"/>
    <col min="4" max="5" width="11.7109375" bestFit="1" customWidth="1"/>
    <col min="6" max="6" width="9.42578125" bestFit="1" customWidth="1"/>
    <col min="7" max="7" width="11" bestFit="1" customWidth="1"/>
    <col min="8" max="8" width="12.7109375" bestFit="1" customWidth="1"/>
    <col min="9" max="9" width="12" bestFit="1" customWidth="1"/>
    <col min="10" max="10" width="11.85546875" bestFit="1" customWidth="1"/>
    <col min="11" max="11" width="10.7109375" bestFit="1" customWidth="1"/>
    <col min="12" max="12" width="10.28515625" bestFit="1" customWidth="1"/>
    <col min="13" max="13" width="9.42578125" bestFit="1" customWidth="1"/>
  </cols>
  <sheetData>
    <row r="1" spans="1:13" ht="18">
      <c r="A1" s="138" t="s">
        <v>27</v>
      </c>
    </row>
    <row r="4" spans="1:13">
      <c r="A4" s="55" t="s">
        <v>25</v>
      </c>
      <c r="M4" t="s">
        <v>14</v>
      </c>
    </row>
    <row r="5" spans="1:13">
      <c r="B5" s="8" t="s">
        <v>3</v>
      </c>
      <c r="C5" s="8" t="s">
        <v>4</v>
      </c>
      <c r="D5" s="8" t="s">
        <v>5</v>
      </c>
      <c r="E5" s="8" t="s">
        <v>6</v>
      </c>
      <c r="F5" s="8" t="s">
        <v>12</v>
      </c>
      <c r="G5" s="8" t="s">
        <v>7</v>
      </c>
      <c r="H5" s="8" t="s">
        <v>8</v>
      </c>
      <c r="I5" s="8" t="s">
        <v>9</v>
      </c>
      <c r="J5" s="8" t="s">
        <v>10</v>
      </c>
      <c r="K5" s="8" t="s">
        <v>13</v>
      </c>
      <c r="L5" s="8" t="s">
        <v>11</v>
      </c>
      <c r="M5" s="8" t="s">
        <v>15</v>
      </c>
    </row>
    <row r="6" spans="1:13">
      <c r="A6" t="s">
        <v>118</v>
      </c>
      <c r="B6" s="137">
        <f>'TF-LG'!C3</f>
        <v>3600</v>
      </c>
      <c r="C6" s="135">
        <f>'TF-LG'!C5</f>
        <v>1080000000</v>
      </c>
      <c r="D6" s="135">
        <f>'TF-LG'!C14</f>
        <v>27000000</v>
      </c>
      <c r="E6" s="135">
        <f>'TF-LG'!C14</f>
        <v>27000000</v>
      </c>
      <c r="F6" s="134">
        <f>E6/D6</f>
        <v>1</v>
      </c>
      <c r="G6" s="135">
        <v>0</v>
      </c>
      <c r="H6" s="135">
        <v>0</v>
      </c>
      <c r="I6" s="135">
        <f>E6+G6+H6</f>
        <v>27000000</v>
      </c>
      <c r="J6" s="135">
        <f>'TF-LG'!C40</f>
        <v>20122500</v>
      </c>
      <c r="K6" s="135">
        <f>'TF-LG'!C42</f>
        <v>6877500</v>
      </c>
      <c r="L6" s="136">
        <f>'TF-LG'!C43</f>
        <v>0.25472222222222224</v>
      </c>
      <c r="M6" s="135">
        <f>'TF-LG'!C57</f>
        <v>384375</v>
      </c>
    </row>
    <row r="7" spans="1:13">
      <c r="A7" t="s">
        <v>112</v>
      </c>
      <c r="B7" s="137">
        <f>'SIM-LG'!B3</f>
        <v>3600</v>
      </c>
      <c r="C7" s="135">
        <f>'SIM-LG'!B5</f>
        <v>1080000000</v>
      </c>
      <c r="D7" s="135">
        <f>'SIM-LG'!H26</f>
        <v>27000000</v>
      </c>
      <c r="E7" s="135">
        <f>'SIM-LG'!C28</f>
        <v>4300499.9999999991</v>
      </c>
      <c r="F7" s="134">
        <f t="shared" ref="F7:F12" si="0">E7/D7</f>
        <v>0.15927777777777774</v>
      </c>
      <c r="G7" s="135">
        <f>'SIM-LG'!C30</f>
        <v>1340000</v>
      </c>
      <c r="H7" s="135">
        <f>'SIM-LG'!C32</f>
        <v>506250</v>
      </c>
      <c r="I7" s="135">
        <f>'SIM-LG'!C34</f>
        <v>6146749.9999999991</v>
      </c>
      <c r="J7" s="135">
        <f>'SIM-LG'!C45</f>
        <v>6750000</v>
      </c>
      <c r="K7" s="135">
        <f>'SIM-LG'!C47</f>
        <v>-603250.00000000093</v>
      </c>
      <c r="L7" s="136">
        <f>'SIM-LG'!C48</f>
        <v>-2.2342592592592626E-2</v>
      </c>
      <c r="M7" s="135">
        <f>'SIM-LG'!H50</f>
        <v>237815</v>
      </c>
    </row>
    <row r="8" spans="1:13">
      <c r="A8" t="s">
        <v>0</v>
      </c>
      <c r="B8" s="137">
        <f>'KD-LG'!B3</f>
        <v>3600</v>
      </c>
      <c r="C8" s="135">
        <f>'KD-LG'!B5</f>
        <v>1080000000</v>
      </c>
      <c r="D8" s="135">
        <f>'KD-LG'!H34</f>
        <v>27000000</v>
      </c>
      <c r="E8" s="135">
        <f>'KD-LG'!P34</f>
        <v>4674750</v>
      </c>
      <c r="F8" s="134">
        <f t="shared" si="0"/>
        <v>0.1731388888888889</v>
      </c>
      <c r="G8" s="135">
        <f>'KD-LG'!C38</f>
        <v>1340000</v>
      </c>
      <c r="H8" s="135">
        <v>0</v>
      </c>
      <c r="I8" s="135">
        <f>'KD-LG'!C40</f>
        <v>6014750</v>
      </c>
      <c r="J8" s="135">
        <f ca="1">'KD-LG'!C50</f>
        <v>6750000</v>
      </c>
      <c r="K8" s="135">
        <f ca="1">'KD-LG'!C63</f>
        <v>-735250</v>
      </c>
      <c r="L8" s="136">
        <f ca="1">'KD-LG'!C64</f>
        <v>-2.7231481481481482E-2</v>
      </c>
      <c r="M8" s="135">
        <f ca="1">'KD-LG'!J68</f>
        <v>228565</v>
      </c>
    </row>
    <row r="9" spans="1:13">
      <c r="B9" s="137"/>
      <c r="C9" s="135"/>
      <c r="D9" s="135"/>
      <c r="E9" s="135"/>
      <c r="F9" s="134"/>
      <c r="G9" s="135"/>
      <c r="H9" s="135"/>
      <c r="I9" s="135"/>
      <c r="J9" s="135"/>
      <c r="K9" s="135"/>
      <c r="L9" s="136"/>
      <c r="M9" s="135"/>
    </row>
    <row r="10" spans="1:13">
      <c r="A10" t="s">
        <v>23</v>
      </c>
      <c r="B10" s="137">
        <f>'TFOPT-LG'!C3</f>
        <v>4050</v>
      </c>
      <c r="C10" s="135">
        <f>'TFOPT-LG'!C5</f>
        <v>1215000000</v>
      </c>
      <c r="D10" s="135">
        <f>'TFOPT-LG'!C14</f>
        <v>30375000</v>
      </c>
      <c r="E10" s="135">
        <f>D10</f>
        <v>30375000</v>
      </c>
      <c r="F10" s="134">
        <f>E10/D10</f>
        <v>1</v>
      </c>
      <c r="G10" s="135">
        <v>0</v>
      </c>
      <c r="H10" s="135">
        <v>0</v>
      </c>
      <c r="I10" s="135">
        <f>E10+G10+H10</f>
        <v>30375000</v>
      </c>
      <c r="J10" s="135">
        <f>'TFOPT-LG'!C40</f>
        <v>22141687.5</v>
      </c>
      <c r="K10" s="135">
        <f>'TFOPT-LG'!C42</f>
        <v>8233312.5</v>
      </c>
      <c r="L10" s="136">
        <f>'TFOPT-LG'!C43</f>
        <v>0.27105555555555555</v>
      </c>
      <c r="M10" s="135">
        <f>'TFOPT-LG'!C57</f>
        <v>397589.67391304346</v>
      </c>
    </row>
    <row r="11" spans="1:13">
      <c r="A11" t="s">
        <v>1</v>
      </c>
      <c r="B11" s="137">
        <f>'SIMOPT-LG'!B3</f>
        <v>4050</v>
      </c>
      <c r="C11" s="135">
        <f>'SIMOPT-LG'!B5</f>
        <v>1215000000</v>
      </c>
      <c r="D11" s="135">
        <f>'SIMOPT-LG'!H26</f>
        <v>30375000</v>
      </c>
      <c r="E11" s="135">
        <f>'SIMOPT-LG'!C28</f>
        <v>5181749.9999999991</v>
      </c>
      <c r="F11" s="134">
        <f t="shared" si="0"/>
        <v>0.17059259259259257</v>
      </c>
      <c r="G11" s="135">
        <f>'SIMOPT-LG'!C30</f>
        <v>1441250</v>
      </c>
      <c r="H11" s="135">
        <f>'SIMOPT-LG'!C32</f>
        <v>2062500</v>
      </c>
      <c r="I11" s="135">
        <f>'SIMOPT-LG'!C34</f>
        <v>8685500</v>
      </c>
      <c r="J11" s="135">
        <f>'SIMOPT-LG'!C45</f>
        <v>4725000</v>
      </c>
      <c r="K11" s="135">
        <f>'SIMOPT-LG'!C47</f>
        <v>3960500</v>
      </c>
      <c r="L11" s="136">
        <f>'SIMOPT-LG'!C48</f>
        <v>0.13038683127572018</v>
      </c>
      <c r="M11" s="135">
        <f>'SIMOPT-LG'!H50</f>
        <v>230315</v>
      </c>
    </row>
    <row r="12" spans="1:13">
      <c r="A12" t="s">
        <v>2</v>
      </c>
      <c r="B12" s="137">
        <f>'KDOPT-LG'!B3</f>
        <v>4050</v>
      </c>
      <c r="C12" s="135">
        <f>'KDOPT-LG'!B5</f>
        <v>1215000000</v>
      </c>
      <c r="D12" s="135">
        <f>'KDOPT-LG'!H34</f>
        <v>30375000</v>
      </c>
      <c r="E12" s="135">
        <f>'KDOPT-LG'!C36</f>
        <v>5415000</v>
      </c>
      <c r="F12" s="134">
        <f t="shared" si="0"/>
        <v>0.1782716049382716</v>
      </c>
      <c r="G12" s="135">
        <f>'KDOPT-LG'!C38</f>
        <v>1441250</v>
      </c>
      <c r="H12" s="135">
        <v>0</v>
      </c>
      <c r="I12" s="135">
        <f>'KDOPT-LG'!C40</f>
        <v>6856250</v>
      </c>
      <c r="J12" s="135">
        <f ca="1">'KDOPT-LG'!C50</f>
        <v>4725000</v>
      </c>
      <c r="K12" s="135">
        <f ca="1">'KDOPT-LG'!C63</f>
        <v>1089445</v>
      </c>
      <c r="L12" s="136">
        <f ca="1">'KDOPT-LG'!C64</f>
        <v>3.5866502057613166E-2</v>
      </c>
      <c r="M12" s="135">
        <f ca="1">'KDOPT-LG'!J68</f>
        <v>232797.63342566942</v>
      </c>
    </row>
    <row r="15" spans="1:13">
      <c r="A15" s="55" t="s">
        <v>24</v>
      </c>
    </row>
    <row r="16" spans="1:13">
      <c r="B16" s="8" t="s">
        <v>3</v>
      </c>
      <c r="C16" s="8" t="s">
        <v>4</v>
      </c>
      <c r="D16" s="8" t="s">
        <v>5</v>
      </c>
      <c r="E16" s="8" t="s">
        <v>6</v>
      </c>
      <c r="F16" s="8" t="s">
        <v>12</v>
      </c>
      <c r="G16" s="8" t="s">
        <v>7</v>
      </c>
      <c r="H16" s="8" t="s">
        <v>8</v>
      </c>
      <c r="I16" s="8" t="s">
        <v>9</v>
      </c>
      <c r="J16" s="8" t="s">
        <v>10</v>
      </c>
      <c r="K16" s="8" t="s">
        <v>13</v>
      </c>
      <c r="L16" s="8" t="s">
        <v>11</v>
      </c>
      <c r="M16" s="8" t="s">
        <v>15</v>
      </c>
    </row>
    <row r="17" spans="1:13">
      <c r="A17" t="s">
        <v>23</v>
      </c>
      <c r="B17" s="137">
        <f>'TF - Mid'!C3</f>
        <v>1215</v>
      </c>
      <c r="C17" s="135">
        <f>'TF - Mid'!C5</f>
        <v>364500000</v>
      </c>
      <c r="D17" s="135">
        <f>'TF - Mid'!C14</f>
        <v>9112500</v>
      </c>
      <c r="E17" s="135">
        <f>D17</f>
        <v>9112500</v>
      </c>
      <c r="F17" s="134">
        <f>E17/D17</f>
        <v>1</v>
      </c>
      <c r="G17" s="135">
        <v>0</v>
      </c>
      <c r="H17" s="135">
        <v>0</v>
      </c>
      <c r="I17" s="135">
        <f>E17+G17+H17</f>
        <v>9112500</v>
      </c>
      <c r="J17" s="135">
        <f>'TF - Mid'!C40</f>
        <v>6775406.25</v>
      </c>
      <c r="K17" s="135">
        <f>'TF - Mid'!C42</f>
        <v>2337093.75</v>
      </c>
      <c r="L17" s="136">
        <f>'TF - Mid'!C43</f>
        <v>0.25647119341563784</v>
      </c>
      <c r="M17" s="135">
        <f>'TF - Mid'!C57</f>
        <v>372977.67857142858</v>
      </c>
    </row>
    <row r="18" spans="1:13">
      <c r="A18" t="s">
        <v>1</v>
      </c>
      <c r="B18" s="137">
        <f>'SIM-Mid'!B3</f>
        <v>1215</v>
      </c>
      <c r="C18" s="135">
        <f>'SIM-Mid'!B5</f>
        <v>364500000</v>
      </c>
      <c r="D18" s="135">
        <f>'SIM-Mid'!H26</f>
        <v>9112500</v>
      </c>
      <c r="E18" s="135">
        <f>'SIM-Mid'!C28</f>
        <v>1554524.9999999998</v>
      </c>
      <c r="F18" s="134">
        <f t="shared" ref="F18:F19" si="1">E18/D18</f>
        <v>0.17059259259259257</v>
      </c>
      <c r="G18" s="135">
        <f>'SIM-Mid'!C30</f>
        <v>432375</v>
      </c>
      <c r="H18" s="135">
        <f>'SIM-Mid'!C32</f>
        <v>620625</v>
      </c>
      <c r="I18" s="135">
        <f>'SIM-Mid'!C34</f>
        <v>2607525</v>
      </c>
      <c r="J18" s="135">
        <f>'SIM-Mid'!C45</f>
        <v>1417500</v>
      </c>
      <c r="K18" s="135">
        <f>'SIM-Mid'!C47</f>
        <v>1190025</v>
      </c>
      <c r="L18" s="136">
        <f>'SIM-Mid'!C48</f>
        <v>0.13059259259259259</v>
      </c>
      <c r="M18" s="135">
        <f>'SIM-Mid'!H50</f>
        <v>230315</v>
      </c>
    </row>
    <row r="19" spans="1:13">
      <c r="A19" t="s">
        <v>2</v>
      </c>
      <c r="B19" s="137">
        <f>'KD-Mid'!B3</f>
        <v>1215</v>
      </c>
      <c r="C19" s="135">
        <f>'KD-Mid'!B5</f>
        <v>364500000</v>
      </c>
      <c r="D19" s="135">
        <f>'KD-Mid'!H34</f>
        <v>9112500</v>
      </c>
      <c r="E19" s="135">
        <f>'KD-Mid'!C36</f>
        <v>1624500</v>
      </c>
      <c r="F19" s="134">
        <f t="shared" si="1"/>
        <v>0.1782716049382716</v>
      </c>
      <c r="G19" s="135">
        <f>'KD-Mid'!C38</f>
        <v>432375</v>
      </c>
      <c r="H19" s="135">
        <v>0</v>
      </c>
      <c r="I19" s="135">
        <f>'KD-Mid'!C40</f>
        <v>2056875</v>
      </c>
      <c r="J19" s="135">
        <f ca="1">'KD-Mid'!C50</f>
        <v>1417500</v>
      </c>
      <c r="K19" s="135">
        <f ca="1">'KD-Mid'!C63</f>
        <v>343507.5</v>
      </c>
      <c r="L19" s="136">
        <f ca="1">'KD-Mid'!C64</f>
        <v>3.7696296296296297E-2</v>
      </c>
      <c r="M19" s="135">
        <f ca="1">'KD-Mid'!J68</f>
        <v>232571.82363804246</v>
      </c>
    </row>
    <row r="22" spans="1:13">
      <c r="A22" s="55" t="s">
        <v>26</v>
      </c>
    </row>
    <row r="23" spans="1:13">
      <c r="B23" s="8" t="s">
        <v>3</v>
      </c>
      <c r="C23" s="8" t="s">
        <v>4</v>
      </c>
      <c r="D23" s="8" t="s">
        <v>5</v>
      </c>
      <c r="E23" s="8" t="s">
        <v>6</v>
      </c>
      <c r="F23" s="8" t="s">
        <v>12</v>
      </c>
      <c r="G23" s="8" t="s">
        <v>7</v>
      </c>
      <c r="H23" s="8" t="s">
        <v>8</v>
      </c>
      <c r="I23" s="8" t="s">
        <v>9</v>
      </c>
      <c r="J23" s="8" t="s">
        <v>10</v>
      </c>
      <c r="K23" s="8" t="s">
        <v>13</v>
      </c>
      <c r="L23" s="8" t="s">
        <v>11</v>
      </c>
      <c r="M23" s="8" t="s">
        <v>15</v>
      </c>
    </row>
    <row r="24" spans="1:13">
      <c r="A24" t="s">
        <v>23</v>
      </c>
      <c r="B24" s="137">
        <f>'TF-SM'!C3</f>
        <v>405</v>
      </c>
      <c r="C24" s="135">
        <f>'TF-SM'!C5</f>
        <v>121500000</v>
      </c>
      <c r="D24" s="135">
        <f>'TF-SM'!C14</f>
        <v>3037500</v>
      </c>
      <c r="E24" s="135">
        <f>D24</f>
        <v>3037500</v>
      </c>
      <c r="F24" s="134">
        <f>E24/D24</f>
        <v>1</v>
      </c>
      <c r="G24" s="135">
        <v>0</v>
      </c>
      <c r="H24" s="135">
        <v>0</v>
      </c>
      <c r="I24" s="135">
        <f>E24+G24+H24</f>
        <v>3037500</v>
      </c>
      <c r="J24" s="135">
        <f>'TF-SM'!C40</f>
        <v>2261468.75</v>
      </c>
      <c r="K24" s="135">
        <f>'TF-SM'!C42</f>
        <v>776031.25</v>
      </c>
      <c r="L24" s="136">
        <f>'TF-SM'!C43</f>
        <v>0.25548353909465021</v>
      </c>
      <c r="M24" s="135">
        <f>'TF-SM'!C57</f>
        <v>289177.08333333337</v>
      </c>
    </row>
    <row r="25" spans="1:13">
      <c r="A25" t="s">
        <v>1</v>
      </c>
      <c r="B25" s="137">
        <f>'Sim-SM'!B3</f>
        <v>405</v>
      </c>
      <c r="C25" s="135">
        <f>'Sim-SM'!B5</f>
        <v>121500000</v>
      </c>
      <c r="D25" s="135">
        <f>'Sim-SM'!H26</f>
        <v>3037500</v>
      </c>
      <c r="E25" s="135">
        <f>'Sim-SM'!C28</f>
        <v>518174.99999999994</v>
      </c>
      <c r="F25" s="134">
        <f t="shared" ref="F25:F26" si="2">E25/D25</f>
        <v>0.17059259259259257</v>
      </c>
      <c r="G25" s="135">
        <f>'Sim-SM'!C30</f>
        <v>144125</v>
      </c>
      <c r="H25" s="135">
        <f>'Sim-SM'!C32</f>
        <v>208125</v>
      </c>
      <c r="I25" s="135">
        <f>'Sim-SM'!C34</f>
        <v>870425</v>
      </c>
      <c r="J25" s="135">
        <f>'Sim-SM'!C45</f>
        <v>472500</v>
      </c>
      <c r="K25" s="135">
        <f>'Sim-SM'!C47</f>
        <v>397925</v>
      </c>
      <c r="L25" s="136">
        <f>'Sim-SM'!C48</f>
        <v>0.13100411522633745</v>
      </c>
      <c r="M25" s="135">
        <f>'Sim-SM'!H50</f>
        <v>230315</v>
      </c>
    </row>
    <row r="26" spans="1:13">
      <c r="A26" t="s">
        <v>2</v>
      </c>
      <c r="B26" s="137">
        <f>'KD-SM'!B3</f>
        <v>405</v>
      </c>
      <c r="C26" s="135">
        <f>'KD-SM'!B5</f>
        <v>121500000</v>
      </c>
      <c r="D26" s="135">
        <f>'KD-SM'!H34</f>
        <v>3037500</v>
      </c>
      <c r="E26" s="135">
        <f>'KD-SM'!C36</f>
        <v>541500</v>
      </c>
      <c r="F26" s="134">
        <f t="shared" si="2"/>
        <v>0.1782716049382716</v>
      </c>
      <c r="G26" s="135">
        <f>'KD-SM'!C38</f>
        <v>144125</v>
      </c>
      <c r="H26" s="57">
        <v>0</v>
      </c>
      <c r="I26" s="135">
        <f>'KD-SM'!C40</f>
        <v>685625</v>
      </c>
      <c r="J26" s="135">
        <f ca="1">'KD-SM'!C50</f>
        <v>472500</v>
      </c>
      <c r="K26" s="135">
        <f ca="1">'KD-SM'!C63</f>
        <v>130382.5</v>
      </c>
      <c r="L26" s="136">
        <f ca="1">'KD-SM'!C64</f>
        <v>4.2924279835390947E-2</v>
      </c>
      <c r="M26" s="135">
        <f ca="1">'KD-SM'!J68</f>
        <v>231926.65281625115</v>
      </c>
    </row>
  </sheetData>
  <phoneticPr fontId="8" type="noConversion"/>
  <pageMargins left="0.75" right="0.75" top="1" bottom="1" header="0.5" footer="0.5"/>
  <pageSetup orientation="portrait" horizontalDpi="4294967292" verticalDpi="4294967292"/>
  <headerFooter>
    <oddFooter>&amp;L&amp;A&amp;C&amp;"Verdana,Bold"Copyright 2009, 7DS Associates_x000D_www.7dsassociates.com&amp;RPage &amp;P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R72"/>
  <sheetViews>
    <sheetView topLeftCell="A38" workbookViewId="0">
      <selection activeCell="C2" sqref="C2"/>
    </sheetView>
  </sheetViews>
  <sheetFormatPr baseColWidth="10" defaultRowHeight="13"/>
  <cols>
    <col min="1" max="1" width="19.85546875" customWidth="1"/>
    <col min="2" max="2" width="13.42578125" customWidth="1"/>
    <col min="3" max="3" width="12.42578125" style="73" customWidth="1"/>
    <col min="4" max="4" width="10.42578125" customWidth="1"/>
    <col min="5" max="5" width="11.28515625" customWidth="1"/>
    <col min="6" max="6" width="9.85546875" customWidth="1"/>
    <col min="8" max="8" width="11" customWidth="1"/>
    <col min="9" max="9" width="8.7109375" customWidth="1"/>
    <col min="11" max="11" width="7.5703125" customWidth="1"/>
    <col min="12" max="12" width="11.7109375" customWidth="1"/>
    <col min="13" max="13" width="10.5703125" customWidth="1"/>
    <col min="14" max="15" width="10.42578125" customWidth="1"/>
    <col min="16" max="16" width="11.7109375" customWidth="1"/>
    <col min="20" max="20" width="9.28515625" customWidth="1"/>
  </cols>
  <sheetData>
    <row r="1" spans="1:5">
      <c r="A1" s="19" t="s">
        <v>19</v>
      </c>
    </row>
    <row r="3" spans="1:5">
      <c r="A3" t="s">
        <v>178</v>
      </c>
      <c r="B3" s="49">
        <f>SUM(F30:F33)</f>
        <v>1215</v>
      </c>
    </row>
    <row r="4" spans="1:5">
      <c r="A4" t="s">
        <v>175</v>
      </c>
      <c r="B4" s="23">
        <v>300000</v>
      </c>
    </row>
    <row r="5" spans="1:5">
      <c r="A5" t="s">
        <v>119</v>
      </c>
      <c r="B5" s="23">
        <f>B3*B4</f>
        <v>364500000</v>
      </c>
    </row>
    <row r="6" spans="1:5">
      <c r="A6" t="s">
        <v>176</v>
      </c>
      <c r="B6" s="2">
        <v>2.5000000000000001E-2</v>
      </c>
    </row>
    <row r="7" spans="1:5">
      <c r="A7" t="s">
        <v>177</v>
      </c>
      <c r="B7" s="53">
        <f>B4*B6</f>
        <v>7500</v>
      </c>
    </row>
    <row r="9" spans="1:5">
      <c r="A9" s="8" t="s">
        <v>95</v>
      </c>
    </row>
    <row r="10" spans="1:5">
      <c r="A10" s="28" t="s">
        <v>91</v>
      </c>
      <c r="B10" s="14">
        <v>0.3</v>
      </c>
    </row>
    <row r="11" spans="1:5">
      <c r="A11" s="28" t="s">
        <v>84</v>
      </c>
      <c r="B11" s="63">
        <v>22000</v>
      </c>
    </row>
    <row r="12" spans="1:5">
      <c r="A12" s="28" t="s">
        <v>82</v>
      </c>
      <c r="B12" s="3">
        <v>0.06</v>
      </c>
    </row>
    <row r="13" spans="1:5">
      <c r="A13" s="28" t="s">
        <v>83</v>
      </c>
      <c r="B13" s="63">
        <v>3000</v>
      </c>
    </row>
    <row r="14" spans="1:5">
      <c r="B14" s="63"/>
    </row>
    <row r="15" spans="1:5">
      <c r="A15" s="66" t="s">
        <v>90</v>
      </c>
      <c r="B15" s="103">
        <v>225</v>
      </c>
    </row>
    <row r="16" spans="1:5">
      <c r="A16" s="28"/>
      <c r="B16" s="63"/>
      <c r="E16" s="57"/>
    </row>
    <row r="17" spans="1:18">
      <c r="A17" s="28"/>
      <c r="B17" s="63"/>
      <c r="E17" s="57"/>
    </row>
    <row r="18" spans="1:18">
      <c r="A18" s="65" t="s">
        <v>89</v>
      </c>
      <c r="B18" s="63"/>
      <c r="C18" s="73" t="s">
        <v>97</v>
      </c>
    </row>
    <row r="19" spans="1:18">
      <c r="A19" s="32" t="s">
        <v>86</v>
      </c>
      <c r="B19" s="64">
        <v>40</v>
      </c>
      <c r="C19" s="74">
        <f>B19*12</f>
        <v>480</v>
      </c>
    </row>
    <row r="20" spans="1:18">
      <c r="A20" s="32" t="s">
        <v>87</v>
      </c>
      <c r="B20" s="63">
        <v>25</v>
      </c>
      <c r="C20" s="75">
        <f>B20*12</f>
        <v>300</v>
      </c>
    </row>
    <row r="21" spans="1:18">
      <c r="A21" s="32" t="s">
        <v>88</v>
      </c>
      <c r="B21" s="63">
        <v>15</v>
      </c>
      <c r="C21" s="75">
        <f>B21*12</f>
        <v>180</v>
      </c>
    </row>
    <row r="22" spans="1:18">
      <c r="A22" t="s">
        <v>96</v>
      </c>
      <c r="B22" s="63">
        <v>100</v>
      </c>
      <c r="C22" s="128">
        <f>B22*1</f>
        <v>100</v>
      </c>
    </row>
    <row r="23" spans="1:18">
      <c r="B23" s="63"/>
      <c r="C23" s="75">
        <f>SUM(C19:C22)</f>
        <v>1060</v>
      </c>
    </row>
    <row r="25" spans="1:18">
      <c r="A25" s="56" t="s">
        <v>131</v>
      </c>
    </row>
    <row r="26" spans="1:18">
      <c r="A26" s="56"/>
    </row>
    <row r="27" spans="1:18">
      <c r="A27" s="67" t="s">
        <v>94</v>
      </c>
      <c r="B27">
        <v>150</v>
      </c>
    </row>
    <row r="29" spans="1:18" s="51" customFormat="1" ht="39">
      <c r="B29" s="52" t="s">
        <v>121</v>
      </c>
      <c r="C29" s="76" t="s">
        <v>122</v>
      </c>
      <c r="D29" s="52" t="s">
        <v>123</v>
      </c>
      <c r="E29" s="52" t="s">
        <v>124</v>
      </c>
      <c r="F29" s="52" t="s">
        <v>125</v>
      </c>
      <c r="G29" s="52" t="s">
        <v>126</v>
      </c>
      <c r="H29" s="52" t="s">
        <v>33</v>
      </c>
      <c r="I29" s="52" t="s">
        <v>127</v>
      </c>
      <c r="J29" s="52" t="s">
        <v>66</v>
      </c>
      <c r="K29" s="52" t="s">
        <v>65</v>
      </c>
      <c r="L29" s="52" t="s">
        <v>30</v>
      </c>
      <c r="M29" s="52" t="s">
        <v>31</v>
      </c>
      <c r="N29" s="52" t="s">
        <v>92</v>
      </c>
      <c r="O29" s="52" t="s">
        <v>93</v>
      </c>
      <c r="P29" s="52" t="s">
        <v>32</v>
      </c>
      <c r="Q29" s="52" t="s">
        <v>64</v>
      </c>
      <c r="R29" s="52" t="s">
        <v>89</v>
      </c>
    </row>
    <row r="30" spans="1:18">
      <c r="A30" t="s">
        <v>180</v>
      </c>
      <c r="B30" s="3">
        <f>1-$B$10</f>
        <v>0.7</v>
      </c>
      <c r="C30" s="73">
        <f>ROUND(35*1,0)</f>
        <v>35</v>
      </c>
      <c r="D30" s="3">
        <v>0.1</v>
      </c>
      <c r="E30">
        <f>$B$27*D30</f>
        <v>15</v>
      </c>
      <c r="F30">
        <f>C30*E30</f>
        <v>525</v>
      </c>
      <c r="G30" s="35">
        <f>F30/$B$3</f>
        <v>0.43209876543209874</v>
      </c>
      <c r="H30" s="23">
        <f>F30*$B$7</f>
        <v>3937500</v>
      </c>
      <c r="I30" s="23">
        <f>H30/E30</f>
        <v>262500</v>
      </c>
      <c r="J30" s="44">
        <f>K30*E30</f>
        <v>45000</v>
      </c>
      <c r="K30" s="44">
        <f>IF((I30*$B$12)&gt;$B$13,$B$13,(I30*$B$12))</f>
        <v>3000</v>
      </c>
      <c r="L30" s="44">
        <f>H30-J30</f>
        <v>3892500</v>
      </c>
      <c r="M30" s="23">
        <f>L30/E30</f>
        <v>259500</v>
      </c>
      <c r="N30" s="23">
        <f>M30*$B$10</f>
        <v>77850</v>
      </c>
      <c r="O30" s="23">
        <f>IF(N30&gt;$B$11, $B$11, N30)</f>
        <v>22000</v>
      </c>
      <c r="P30" s="44">
        <f>O30*E30</f>
        <v>330000</v>
      </c>
      <c r="Q30" s="70">
        <f>F30*$B$15</f>
        <v>118125</v>
      </c>
      <c r="R30" s="99">
        <f>$C$23*E30</f>
        <v>15900</v>
      </c>
    </row>
    <row r="31" spans="1:18">
      <c r="A31" t="s">
        <v>181</v>
      </c>
      <c r="B31" s="3">
        <f t="shared" ref="B31:B33" si="0">1-$B$10</f>
        <v>0.7</v>
      </c>
      <c r="C31" s="100">
        <v>13</v>
      </c>
      <c r="D31" s="3">
        <v>0.2</v>
      </c>
      <c r="E31">
        <f>$B$27*D31</f>
        <v>30</v>
      </c>
      <c r="F31">
        <f t="shared" ref="F31:F33" si="1">C31*E31</f>
        <v>390</v>
      </c>
      <c r="G31" s="35">
        <f t="shared" ref="G31:G34" si="2">F31/$B$3</f>
        <v>0.32098765432098764</v>
      </c>
      <c r="H31" s="23">
        <f t="shared" ref="H31:H33" si="3">F31*$B$7</f>
        <v>2925000</v>
      </c>
      <c r="I31" s="23">
        <f t="shared" ref="I31:I34" si="4">H31/E31</f>
        <v>97500</v>
      </c>
      <c r="J31" s="44">
        <f>K31*E31</f>
        <v>90000</v>
      </c>
      <c r="K31" s="44">
        <f>IF((I31*$B$12)&gt;$B$13,$B$13,(I31*$B$12))</f>
        <v>3000</v>
      </c>
      <c r="L31" s="44">
        <f t="shared" ref="L31:L33" si="5">H31-J31</f>
        <v>2835000</v>
      </c>
      <c r="M31" s="23">
        <f t="shared" ref="M31:M33" si="6">L31/E31</f>
        <v>94500</v>
      </c>
      <c r="N31" s="23">
        <f t="shared" ref="N31:N33" si="7">M31*$B$10</f>
        <v>28350</v>
      </c>
      <c r="O31" s="23">
        <f t="shared" ref="O31:O33" si="8">IF(N31&gt;$B$11, $B$11, N31)</f>
        <v>22000</v>
      </c>
      <c r="P31" s="44">
        <f t="shared" ref="P31:P33" si="9">O31*E31</f>
        <v>660000</v>
      </c>
      <c r="Q31" s="70">
        <f t="shared" ref="Q31:Q33" si="10">F31*$B$15</f>
        <v>87750</v>
      </c>
      <c r="R31" s="99">
        <f t="shared" ref="R31:R33" si="11">$C$23*E31</f>
        <v>31800</v>
      </c>
    </row>
    <row r="32" spans="1:18">
      <c r="A32" t="s">
        <v>182</v>
      </c>
      <c r="B32" s="3">
        <f t="shared" si="0"/>
        <v>0.7</v>
      </c>
      <c r="C32" s="100">
        <v>4</v>
      </c>
      <c r="D32" s="3">
        <v>0.3</v>
      </c>
      <c r="E32">
        <f>$B$27*D32</f>
        <v>45</v>
      </c>
      <c r="F32">
        <f t="shared" si="1"/>
        <v>180</v>
      </c>
      <c r="G32" s="35">
        <f t="shared" si="2"/>
        <v>0.14814814814814814</v>
      </c>
      <c r="H32" s="23">
        <f t="shared" si="3"/>
        <v>1350000</v>
      </c>
      <c r="I32" s="23">
        <f t="shared" si="4"/>
        <v>30000</v>
      </c>
      <c r="J32" s="44">
        <f>K32*E32</f>
        <v>81000</v>
      </c>
      <c r="K32" s="44">
        <f>IF((I32*$B$12)&gt;$B$13,$B$13,(I32*$B$12))</f>
        <v>1800</v>
      </c>
      <c r="L32" s="44">
        <f t="shared" si="5"/>
        <v>1269000</v>
      </c>
      <c r="M32" s="23">
        <f t="shared" si="6"/>
        <v>28200</v>
      </c>
      <c r="N32" s="23">
        <f t="shared" si="7"/>
        <v>8460</v>
      </c>
      <c r="O32" s="23">
        <f t="shared" si="8"/>
        <v>8460</v>
      </c>
      <c r="P32" s="44">
        <f t="shared" si="9"/>
        <v>380700</v>
      </c>
      <c r="Q32" s="70">
        <f t="shared" si="10"/>
        <v>40500</v>
      </c>
      <c r="R32" s="99">
        <f t="shared" si="11"/>
        <v>47700</v>
      </c>
    </row>
    <row r="33" spans="1:18">
      <c r="A33" t="s">
        <v>183</v>
      </c>
      <c r="B33" s="3">
        <f t="shared" si="0"/>
        <v>0.7</v>
      </c>
      <c r="C33" s="101">
        <v>2</v>
      </c>
      <c r="D33" s="9">
        <v>0.4</v>
      </c>
      <c r="E33" s="8">
        <f>$B$27*D33</f>
        <v>60</v>
      </c>
      <c r="F33" s="8">
        <f t="shared" si="1"/>
        <v>120</v>
      </c>
      <c r="G33" s="10">
        <f t="shared" si="2"/>
        <v>9.8765432098765427E-2</v>
      </c>
      <c r="H33" s="16">
        <f t="shared" si="3"/>
        <v>900000</v>
      </c>
      <c r="I33" s="16">
        <f t="shared" si="4"/>
        <v>15000</v>
      </c>
      <c r="J33" s="34">
        <f>K33*E33</f>
        <v>54000</v>
      </c>
      <c r="K33" s="34">
        <f>IF((I33*$B$12)&gt;$B$13,$B$13,(I33*$B$12))</f>
        <v>900</v>
      </c>
      <c r="L33" s="34">
        <f t="shared" si="5"/>
        <v>846000</v>
      </c>
      <c r="M33" s="16">
        <f t="shared" si="6"/>
        <v>14100</v>
      </c>
      <c r="N33" s="16">
        <f t="shared" si="7"/>
        <v>4230</v>
      </c>
      <c r="O33" s="16">
        <f t="shared" si="8"/>
        <v>4230</v>
      </c>
      <c r="P33" s="34">
        <f t="shared" si="9"/>
        <v>253800</v>
      </c>
      <c r="Q33" s="71">
        <f t="shared" si="10"/>
        <v>27000</v>
      </c>
      <c r="R33" s="68">
        <f t="shared" si="11"/>
        <v>63600</v>
      </c>
    </row>
    <row r="34" spans="1:18">
      <c r="A34" t="s">
        <v>158</v>
      </c>
      <c r="D34" s="3">
        <f>SUM(D30:D33)</f>
        <v>1</v>
      </c>
      <c r="E34">
        <f>SUM(E30:E33)</f>
        <v>150</v>
      </c>
      <c r="F34">
        <f>SUM(F30:F33)</f>
        <v>1215</v>
      </c>
      <c r="G34" s="35">
        <f t="shared" si="2"/>
        <v>1</v>
      </c>
      <c r="H34" s="23">
        <f>SUM(H30:H33)</f>
        <v>9112500</v>
      </c>
      <c r="I34" s="23">
        <f t="shared" si="4"/>
        <v>60750</v>
      </c>
      <c r="J34" s="69">
        <f t="shared" ref="J34" si="12">SUM(J30:J33)</f>
        <v>270000</v>
      </c>
      <c r="L34" s="69">
        <f>SUM(L30:L33)</f>
        <v>8842500</v>
      </c>
      <c r="M34" s="23"/>
      <c r="N34" s="23"/>
      <c r="O34" s="23"/>
      <c r="P34" s="105">
        <f>SUM(P30:P33)</f>
        <v>1624500</v>
      </c>
      <c r="Q34" s="69">
        <f t="shared" ref="Q34:R34" si="13">SUM(Q30:Q33)</f>
        <v>273375</v>
      </c>
      <c r="R34" s="69">
        <f t="shared" si="13"/>
        <v>159000</v>
      </c>
    </row>
    <row r="36" spans="1:18">
      <c r="A36" t="s">
        <v>29</v>
      </c>
      <c r="C36" s="80">
        <f>P34</f>
        <v>1624500</v>
      </c>
    </row>
    <row r="37" spans="1:18">
      <c r="C37" s="106">
        <f>C36/H34</f>
        <v>0.1782716049382716</v>
      </c>
    </row>
    <row r="38" spans="1:18">
      <c r="A38" t="s">
        <v>34</v>
      </c>
      <c r="C38" s="107">
        <f>Q34+R34</f>
        <v>432375</v>
      </c>
    </row>
    <row r="39" spans="1:18">
      <c r="C39" s="106">
        <f>C38/H34</f>
        <v>4.744855967078189E-2</v>
      </c>
    </row>
    <row r="40" spans="1:18">
      <c r="A40" s="55" t="s">
        <v>35</v>
      </c>
      <c r="C40" s="78">
        <f>SUM(P34:R34)</f>
        <v>2056875</v>
      </c>
      <c r="J40" s="13"/>
      <c r="K40" s="13"/>
      <c r="L40" s="13"/>
      <c r="P40" s="13"/>
    </row>
    <row r="41" spans="1:18">
      <c r="C41" s="79">
        <f>C40/H34</f>
        <v>0.2257201646090535</v>
      </c>
    </row>
    <row r="43" spans="1:18">
      <c r="A43" t="s">
        <v>159</v>
      </c>
      <c r="B43" t="s">
        <v>113</v>
      </c>
    </row>
    <row r="45" spans="1:18">
      <c r="A45" s="54"/>
    </row>
    <row r="46" spans="1:18">
      <c r="A46" t="s">
        <v>186</v>
      </c>
      <c r="B46" s="131">
        <f>'KDOPT-LG'!B46</f>
        <v>2.2222222222222223E-2</v>
      </c>
      <c r="C46" s="81">
        <f>B46*$H$34</f>
        <v>202500</v>
      </c>
      <c r="D46" t="s">
        <v>20</v>
      </c>
      <c r="P46" s="72"/>
    </row>
    <row r="47" spans="1:18">
      <c r="A47" t="s">
        <v>187</v>
      </c>
      <c r="B47" s="131">
        <f ca="1">'KDOPT-LG'!B47</f>
        <v>4.4444444444444446E-2</v>
      </c>
      <c r="C47" s="81">
        <f t="shared" ref="C47:C49" ca="1" si="14">B47*$H$34</f>
        <v>405000</v>
      </c>
      <c r="D47" t="s">
        <v>20</v>
      </c>
    </row>
    <row r="48" spans="1:18">
      <c r="A48" t="s">
        <v>108</v>
      </c>
      <c r="B48" s="131">
        <f>'KDOPT-LG'!B48</f>
        <v>6.6666666666666666E-2</v>
      </c>
      <c r="C48" s="81">
        <f t="shared" si="14"/>
        <v>607500</v>
      </c>
      <c r="D48" t="s">
        <v>20</v>
      </c>
    </row>
    <row r="49" spans="1:4">
      <c r="A49" t="s">
        <v>109</v>
      </c>
      <c r="B49" s="131">
        <f>'KDOPT-LG'!B49</f>
        <v>2.2222222222222223E-2</v>
      </c>
      <c r="C49" s="81">
        <f t="shared" si="14"/>
        <v>202500</v>
      </c>
      <c r="D49" t="s">
        <v>20</v>
      </c>
    </row>
    <row r="50" spans="1:4">
      <c r="A50" t="s">
        <v>110</v>
      </c>
      <c r="C50" s="83">
        <f ca="1">SUM(C46:C49)</f>
        <v>1417500</v>
      </c>
      <c r="D50" s="21"/>
    </row>
    <row r="52" spans="1:4">
      <c r="A52" t="s">
        <v>70</v>
      </c>
      <c r="C52" s="84">
        <f ca="1">C40-C50</f>
        <v>639375</v>
      </c>
    </row>
    <row r="53" spans="1:4">
      <c r="A53" t="s">
        <v>114</v>
      </c>
      <c r="C53" s="85">
        <f ca="1">C52/H34</f>
        <v>7.0164609053497945E-2</v>
      </c>
    </row>
    <row r="54" spans="1:4">
      <c r="C54" s="85"/>
    </row>
    <row r="55" spans="1:4">
      <c r="A55" t="s">
        <v>67</v>
      </c>
      <c r="B55" t="s">
        <v>68</v>
      </c>
      <c r="C55" s="86" t="s">
        <v>69</v>
      </c>
    </row>
    <row r="56" spans="1:4">
      <c r="A56" s="57">
        <f>2990*12</f>
        <v>35880</v>
      </c>
      <c r="B56" s="14">
        <v>0.25</v>
      </c>
      <c r="C56" s="87">
        <f ca="1">IF($C$52&gt;A56,A56*B56,0)</f>
        <v>8970</v>
      </c>
      <c r="D56" s="70"/>
    </row>
    <row r="57" spans="1:4">
      <c r="A57" s="57">
        <f>8250*12</f>
        <v>99000</v>
      </c>
      <c r="B57" s="14">
        <v>0.35</v>
      </c>
      <c r="C57" s="87">
        <f t="shared" ref="C57" ca="1" si="15">IF($C$52&gt;A57,A57*B57,0)</f>
        <v>34650</v>
      </c>
      <c r="D57" s="89"/>
    </row>
    <row r="58" spans="1:4">
      <c r="A58" s="57">
        <f ca="1">IF(C52-A56-A57&gt;0,C52-A56-A57,0)</f>
        <v>504495</v>
      </c>
      <c r="B58" s="14">
        <v>0.5</v>
      </c>
      <c r="C58" s="102">
        <f ca="1">IF($C$52&gt;A58,A58*B58,0)</f>
        <v>252247.5</v>
      </c>
      <c r="D58" s="90"/>
    </row>
    <row r="59" spans="1:4">
      <c r="C59" s="88">
        <f ca="1">SUM(C56:C58)</f>
        <v>295867.5</v>
      </c>
      <c r="D59" s="88"/>
    </row>
    <row r="60" spans="1:4">
      <c r="C60" s="88"/>
      <c r="D60" s="88"/>
    </row>
    <row r="61" spans="1:4">
      <c r="A61" t="s">
        <v>37</v>
      </c>
      <c r="C61" s="133">
        <f ca="1">C59/C36</f>
        <v>0.18212834718374885</v>
      </c>
      <c r="D61" s="88"/>
    </row>
    <row r="62" spans="1:4">
      <c r="C62" s="88"/>
      <c r="D62" s="88"/>
    </row>
    <row r="63" spans="1:4">
      <c r="A63" s="55" t="s">
        <v>71</v>
      </c>
      <c r="C63" s="91">
        <f ca="1">C52-C59</f>
        <v>343507.5</v>
      </c>
      <c r="D63" s="88"/>
    </row>
    <row r="64" spans="1:4">
      <c r="A64" t="s">
        <v>114</v>
      </c>
      <c r="C64" s="85">
        <f ca="1">C63/$H$34</f>
        <v>3.7696296296296297E-2</v>
      </c>
      <c r="D64" s="88"/>
    </row>
    <row r="65" spans="1:12">
      <c r="C65" s="88"/>
      <c r="D65" s="88"/>
    </row>
    <row r="66" spans="1:12">
      <c r="C66" s="109"/>
      <c r="D66" s="110" t="s">
        <v>72</v>
      </c>
      <c r="E66" s="110"/>
      <c r="F66" s="110"/>
      <c r="G66" s="110"/>
      <c r="H66" s="110"/>
      <c r="I66" s="111"/>
      <c r="J66" s="111"/>
      <c r="K66" s="111"/>
      <c r="L66" s="112"/>
    </row>
    <row r="67" spans="1:12" s="51" customFormat="1" ht="39">
      <c r="C67" s="113" t="s">
        <v>39</v>
      </c>
      <c r="D67" s="96" t="s">
        <v>38</v>
      </c>
      <c r="E67" s="96" t="s">
        <v>36</v>
      </c>
      <c r="F67" s="96" t="s">
        <v>73</v>
      </c>
      <c r="G67" s="97" t="s">
        <v>74</v>
      </c>
      <c r="H67" s="97" t="s">
        <v>85</v>
      </c>
      <c r="I67" s="97" t="s">
        <v>75</v>
      </c>
      <c r="J67" s="114" t="s">
        <v>76</v>
      </c>
      <c r="K67" s="115"/>
    </row>
    <row r="68" spans="1:12">
      <c r="A68" t="s">
        <v>137</v>
      </c>
      <c r="C68" s="116">
        <f>M30-O30</f>
        <v>237500</v>
      </c>
      <c r="D68" s="117">
        <f>O30</f>
        <v>22000</v>
      </c>
      <c r="E68" s="132">
        <f ca="1">$C$61</f>
        <v>0.18212834718374885</v>
      </c>
      <c r="F68" s="95">
        <f ca="1">D68*E68</f>
        <v>4006.8236380424746</v>
      </c>
      <c r="G68" s="118">
        <f ca="1">F68*E30</f>
        <v>60102.354570637122</v>
      </c>
      <c r="H68" s="98">
        <f>Q30/E30</f>
        <v>7875</v>
      </c>
      <c r="I68" s="99">
        <f>R30/E30</f>
        <v>1060</v>
      </c>
      <c r="J68" s="119">
        <f ca="1">(C68+F68)-(H68+I68)</f>
        <v>232571.82363804246</v>
      </c>
      <c r="K68" s="111"/>
    </row>
    <row r="69" spans="1:12">
      <c r="A69" t="s">
        <v>138</v>
      </c>
      <c r="C69" s="116">
        <f t="shared" ref="C69:C71" si="16">M31-O31</f>
        <v>72500</v>
      </c>
      <c r="D69" s="117">
        <f t="shared" ref="D69:D71" si="17">O31</f>
        <v>22000</v>
      </c>
      <c r="E69" s="132">
        <f t="shared" ref="E69:E71" ca="1" si="18">$C$61</f>
        <v>0.18212834718374885</v>
      </c>
      <c r="F69" s="95">
        <f t="shared" ref="F69:F71" ca="1" si="19">D69*E69</f>
        <v>4006.8236380424746</v>
      </c>
      <c r="G69" s="118">
        <f ca="1">F69*E31</f>
        <v>120204.70914127424</v>
      </c>
      <c r="H69" s="98">
        <f>Q31/E31</f>
        <v>2925</v>
      </c>
      <c r="I69" s="99">
        <f>R31/E31</f>
        <v>1060</v>
      </c>
      <c r="J69" s="119">
        <f t="shared" ref="J69:J71" ca="1" si="20">(C69+F69)-(H69+I69)</f>
        <v>72521.823638042479</v>
      </c>
      <c r="K69" s="111"/>
    </row>
    <row r="70" spans="1:12">
      <c r="A70" t="s">
        <v>139</v>
      </c>
      <c r="C70" s="116">
        <f t="shared" si="16"/>
        <v>19740</v>
      </c>
      <c r="D70" s="117">
        <f t="shared" si="17"/>
        <v>8460</v>
      </c>
      <c r="E70" s="132">
        <f t="shared" ca="1" si="18"/>
        <v>0.18212834718374885</v>
      </c>
      <c r="F70" s="95">
        <f t="shared" ca="1" si="19"/>
        <v>1540.8058171745151</v>
      </c>
      <c r="G70" s="118">
        <f ca="1">F70*E32</f>
        <v>69336.261772853177</v>
      </c>
      <c r="H70" s="98">
        <f>Q32/E32</f>
        <v>900</v>
      </c>
      <c r="I70" s="99">
        <f>R32/E32</f>
        <v>1060</v>
      </c>
      <c r="J70" s="119">
        <f t="shared" ca="1" si="20"/>
        <v>19320.805817174514</v>
      </c>
      <c r="K70" s="111"/>
    </row>
    <row r="71" spans="1:12">
      <c r="A71" t="s">
        <v>140</v>
      </c>
      <c r="C71" s="116">
        <f t="shared" si="16"/>
        <v>9870</v>
      </c>
      <c r="D71" s="117">
        <f t="shared" si="17"/>
        <v>4230</v>
      </c>
      <c r="E71" s="132">
        <f t="shared" ca="1" si="18"/>
        <v>0.18212834718374885</v>
      </c>
      <c r="F71" s="95">
        <f t="shared" ca="1" si="19"/>
        <v>770.40290858725757</v>
      </c>
      <c r="G71" s="118">
        <f ca="1">F71*E33</f>
        <v>46224.174515235456</v>
      </c>
      <c r="H71" s="98">
        <f>Q33/E33</f>
        <v>450</v>
      </c>
      <c r="I71" s="99">
        <f>R33/E33</f>
        <v>1060</v>
      </c>
      <c r="J71" s="119">
        <f t="shared" ca="1" si="20"/>
        <v>9130.4029085872571</v>
      </c>
      <c r="K71" s="111"/>
    </row>
    <row r="72" spans="1:12">
      <c r="C72" s="109"/>
      <c r="D72" s="111"/>
      <c r="E72" s="111"/>
      <c r="F72" s="111"/>
      <c r="G72" s="118">
        <f ca="1">SUM(G68:G71)</f>
        <v>295867.5</v>
      </c>
      <c r="H72" s="111"/>
      <c r="I72" s="111"/>
      <c r="J72" s="111"/>
      <c r="K72" s="112"/>
      <c r="L72" s="111"/>
    </row>
  </sheetData>
  <phoneticPr fontId="8" type="noConversion"/>
  <pageMargins left="0.75" right="0.75" top="1" bottom="1" header="0.5" footer="0.5"/>
  <pageSetup orientation="portrait" horizontalDpi="4294967292" verticalDpi="4294967292"/>
  <headerFooter>
    <oddFooter>&amp;L&amp;A&amp;C&amp;"Verdana,Bold"Copyright 2009, 7DS Associates_x000D_www.7dsassociates.com&amp;RPage &amp;P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G71"/>
  <sheetViews>
    <sheetView topLeftCell="A26" workbookViewId="0">
      <selection activeCell="C2" sqref="C2"/>
    </sheetView>
  </sheetViews>
  <sheetFormatPr baseColWidth="10" defaultRowHeight="13"/>
  <cols>
    <col min="1" max="1" width="23" customWidth="1"/>
    <col min="2" max="2" width="13.140625" customWidth="1"/>
    <col min="3" max="3" width="14.5703125" customWidth="1"/>
    <col min="4" max="4" width="13.5703125" customWidth="1"/>
    <col min="8" max="8" width="12.42578125" customWidth="1"/>
    <col min="10" max="10" width="12.140625" customWidth="1"/>
  </cols>
  <sheetData>
    <row r="1" spans="1:5">
      <c r="A1" s="19" t="s">
        <v>118</v>
      </c>
    </row>
    <row r="3" spans="1:5">
      <c r="A3" t="s">
        <v>178</v>
      </c>
      <c r="C3" s="33">
        <f>'Sim-SM'!B3</f>
        <v>405</v>
      </c>
    </row>
    <row r="4" spans="1:5">
      <c r="A4" t="s">
        <v>175</v>
      </c>
      <c r="C4" s="23">
        <v>300000</v>
      </c>
    </row>
    <row r="5" spans="1:5">
      <c r="A5" t="s">
        <v>119</v>
      </c>
      <c r="C5" s="23">
        <f>C3*C4</f>
        <v>121500000</v>
      </c>
    </row>
    <row r="6" spans="1:5">
      <c r="A6" t="s">
        <v>176</v>
      </c>
      <c r="C6" s="2">
        <v>2.5000000000000001E-2</v>
      </c>
    </row>
    <row r="7" spans="1:5">
      <c r="A7" t="s">
        <v>177</v>
      </c>
      <c r="C7" s="23">
        <f>C4*C6</f>
        <v>7500</v>
      </c>
    </row>
    <row r="9" spans="1:5">
      <c r="A9" s="55" t="s">
        <v>131</v>
      </c>
      <c r="C9" s="44"/>
      <c r="D9" t="s">
        <v>153</v>
      </c>
      <c r="E9" t="s">
        <v>141</v>
      </c>
    </row>
    <row r="10" spans="1:5">
      <c r="A10" s="28" t="s">
        <v>155</v>
      </c>
      <c r="B10" s="35">
        <f>C10/C3</f>
        <v>0.33333333333333331</v>
      </c>
      <c r="C10" s="33">
        <f>ROUND(C3/3,0)</f>
        <v>135</v>
      </c>
      <c r="D10">
        <v>60</v>
      </c>
      <c r="E10" s="46">
        <f>ROUNDUP(C10/D10,0)</f>
        <v>3</v>
      </c>
    </row>
    <row r="11" spans="1:5">
      <c r="A11" s="28" t="s">
        <v>157</v>
      </c>
      <c r="C11" s="37">
        <f>C10*C7</f>
        <v>1012500</v>
      </c>
    </row>
    <row r="12" spans="1:5">
      <c r="A12" s="28" t="s">
        <v>154</v>
      </c>
      <c r="B12" s="35">
        <f>C12/C3</f>
        <v>0.66666666666666663</v>
      </c>
      <c r="C12" s="33">
        <f>C3-C10</f>
        <v>270</v>
      </c>
    </row>
    <row r="13" spans="1:5" ht="14" thickBot="1">
      <c r="A13" s="28" t="s">
        <v>156</v>
      </c>
      <c r="C13" s="41">
        <f>C12*C7</f>
        <v>2025000</v>
      </c>
    </row>
    <row r="14" spans="1:5">
      <c r="A14" s="38" t="s">
        <v>158</v>
      </c>
      <c r="B14" s="39"/>
      <c r="C14" s="48">
        <f>C11+C13</f>
        <v>3037500</v>
      </c>
    </row>
    <row r="15" spans="1:5">
      <c r="A15" s="28"/>
      <c r="C15" s="46"/>
    </row>
    <row r="16" spans="1:5">
      <c r="A16" s="56" t="s">
        <v>132</v>
      </c>
    </row>
    <row r="17" spans="1:7">
      <c r="A17" s="28" t="s">
        <v>160</v>
      </c>
      <c r="C17" s="14">
        <v>0.1</v>
      </c>
    </row>
    <row r="18" spans="1:7">
      <c r="A18" s="28" t="s">
        <v>161</v>
      </c>
      <c r="C18" s="34">
        <f>C17*C7</f>
        <v>750</v>
      </c>
      <c r="D18" t="s">
        <v>143</v>
      </c>
    </row>
    <row r="19" spans="1:7">
      <c r="A19" s="28" t="s">
        <v>162</v>
      </c>
      <c r="C19" s="44">
        <f>C18*C10</f>
        <v>101250</v>
      </c>
    </row>
    <row r="21" spans="1:7">
      <c r="A21" s="28" t="s">
        <v>186</v>
      </c>
      <c r="B21" s="2">
        <f>C21/C14</f>
        <v>2.1728395061728394E-2</v>
      </c>
      <c r="C21" s="23">
        <f>20*150*F29</f>
        <v>66000</v>
      </c>
      <c r="D21" t="s">
        <v>102</v>
      </c>
    </row>
    <row r="22" spans="1:7">
      <c r="A22" s="28"/>
      <c r="B22" s="2"/>
      <c r="C22" s="23"/>
    </row>
    <row r="23" spans="1:7">
      <c r="A23" s="28" t="s">
        <v>187</v>
      </c>
      <c r="B23" s="2"/>
      <c r="C23" s="23"/>
    </row>
    <row r="24" spans="1:7">
      <c r="A24" s="36" t="s">
        <v>168</v>
      </c>
      <c r="B24" s="2">
        <v>0.1</v>
      </c>
      <c r="C24" s="23">
        <f>$C$14*B24</f>
        <v>303750</v>
      </c>
      <c r="D24" t="s">
        <v>174</v>
      </c>
    </row>
    <row r="25" spans="1:7">
      <c r="A25" s="36" t="s">
        <v>169</v>
      </c>
      <c r="B25" s="2">
        <v>0.2</v>
      </c>
      <c r="C25" s="23">
        <f>$C$14*B25</f>
        <v>607500</v>
      </c>
      <c r="D25" t="s">
        <v>149</v>
      </c>
    </row>
    <row r="26" spans="1:7">
      <c r="A26" s="28"/>
      <c r="B26" s="2"/>
      <c r="C26" s="23"/>
    </row>
    <row r="27" spans="1:7">
      <c r="A27" s="28" t="s">
        <v>108</v>
      </c>
    </row>
    <row r="28" spans="1:7">
      <c r="A28" s="36" t="s">
        <v>170</v>
      </c>
      <c r="B28" s="2">
        <v>0.17499999999999999</v>
      </c>
      <c r="C28" s="23">
        <f>$C$14*B28</f>
        <v>531562.5</v>
      </c>
      <c r="D28" t="s">
        <v>150</v>
      </c>
      <c r="F28" s="60">
        <f>ROUND(C28/50000,0)</f>
        <v>11</v>
      </c>
      <c r="G28" t="s">
        <v>171</v>
      </c>
    </row>
    <row r="29" spans="1:7">
      <c r="A29" s="36"/>
      <c r="B29" s="2"/>
      <c r="C29" s="23"/>
      <c r="F29" s="61">
        <f>F28+C32+E10</f>
        <v>22</v>
      </c>
      <c r="G29" t="s">
        <v>151</v>
      </c>
    </row>
    <row r="30" spans="1:7">
      <c r="A30" s="36" t="s">
        <v>164</v>
      </c>
      <c r="C30" s="33">
        <f>C3</f>
        <v>405</v>
      </c>
    </row>
    <row r="31" spans="1:7">
      <c r="A31" s="36" t="s">
        <v>163</v>
      </c>
      <c r="C31" s="33">
        <v>50</v>
      </c>
    </row>
    <row r="32" spans="1:7">
      <c r="A32" s="36" t="s">
        <v>165</v>
      </c>
      <c r="C32" s="33">
        <f>ROUND(C30/C31,0)</f>
        <v>8</v>
      </c>
    </row>
    <row r="33" spans="1:6">
      <c r="A33" s="36" t="s">
        <v>166</v>
      </c>
      <c r="C33" s="16">
        <v>40000</v>
      </c>
    </row>
    <row r="34" spans="1:6">
      <c r="A34" s="36" t="s">
        <v>167</v>
      </c>
      <c r="C34" s="23">
        <f>C33*C32</f>
        <v>320000</v>
      </c>
    </row>
    <row r="35" spans="1:6">
      <c r="A35" s="28"/>
      <c r="B35" s="2"/>
      <c r="C35" s="23"/>
      <c r="F35" s="24"/>
    </row>
    <row r="36" spans="1:6">
      <c r="A36" s="28" t="s">
        <v>172</v>
      </c>
      <c r="B36" s="2"/>
      <c r="C36" s="23">
        <f>(C34+C28)*0.3</f>
        <v>255468.75</v>
      </c>
      <c r="F36" s="24"/>
    </row>
    <row r="37" spans="1:6">
      <c r="A37" s="28"/>
      <c r="B37" s="2"/>
      <c r="C37" s="23"/>
    </row>
    <row r="38" spans="1:6">
      <c r="A38" s="28" t="s">
        <v>109</v>
      </c>
      <c r="B38" s="2">
        <v>2.5000000000000001E-2</v>
      </c>
      <c r="C38" s="23">
        <f>$C$14*B38</f>
        <v>75937.5</v>
      </c>
      <c r="D38" t="s">
        <v>103</v>
      </c>
    </row>
    <row r="39" spans="1:6" ht="14" thickBot="1">
      <c r="A39" s="28"/>
      <c r="B39" s="2"/>
      <c r="C39" s="42"/>
      <c r="D39" s="43"/>
      <c r="E39" s="43"/>
    </row>
    <row r="40" spans="1:6">
      <c r="A40" s="55" t="s">
        <v>133</v>
      </c>
      <c r="C40" s="18">
        <f>C38+C36+C34+C28+C25+C24+C21+C19</f>
        <v>2261468.75</v>
      </c>
    </row>
    <row r="42" spans="1:6">
      <c r="A42" s="55" t="s">
        <v>134</v>
      </c>
      <c r="C42" s="29">
        <f>C14-C40</f>
        <v>776031.25</v>
      </c>
    </row>
    <row r="43" spans="1:6">
      <c r="A43" s="55" t="s">
        <v>135</v>
      </c>
      <c r="C43" s="20">
        <f>C42/C14</f>
        <v>0.25548353909465021</v>
      </c>
    </row>
    <row r="47" spans="1:6">
      <c r="A47" s="39" t="s">
        <v>145</v>
      </c>
    </row>
    <row r="48" spans="1:6">
      <c r="A48" s="39"/>
    </row>
    <row r="49" spans="1:3">
      <c r="A49" t="s">
        <v>142</v>
      </c>
      <c r="C49" s="44">
        <f>C42/E10</f>
        <v>258677.08333333334</v>
      </c>
    </row>
    <row r="51" spans="1:3">
      <c r="A51" t="s">
        <v>152</v>
      </c>
      <c r="C51" s="45">
        <f>C18</f>
        <v>750</v>
      </c>
    </row>
    <row r="52" spans="1:3">
      <c r="A52" t="s">
        <v>144</v>
      </c>
      <c r="B52" s="14">
        <v>0.1</v>
      </c>
      <c r="C52" s="46">
        <f>ROUND(C10*B52,0)</f>
        <v>14</v>
      </c>
    </row>
    <row r="53" spans="1:3">
      <c r="A53" t="s">
        <v>146</v>
      </c>
      <c r="B53" s="14">
        <f>1-B52</f>
        <v>0.9</v>
      </c>
      <c r="C53" s="46">
        <f>ROUND(B53*C10,0)</f>
        <v>122</v>
      </c>
    </row>
    <row r="54" spans="1:3">
      <c r="A54" t="s">
        <v>147</v>
      </c>
      <c r="C54" s="34">
        <f>C53*C51</f>
        <v>91500</v>
      </c>
    </row>
    <row r="55" spans="1:3">
      <c r="A55" t="s">
        <v>148</v>
      </c>
      <c r="C55" s="44">
        <f>C54/E10</f>
        <v>30500</v>
      </c>
    </row>
    <row r="57" spans="1:3">
      <c r="A57" t="s">
        <v>158</v>
      </c>
      <c r="C57" s="47">
        <f>C49+C55</f>
        <v>289177.08333333337</v>
      </c>
    </row>
    <row r="59" spans="1:3">
      <c r="A59" t="s">
        <v>16</v>
      </c>
      <c r="C59" s="48"/>
    </row>
    <row r="62" spans="1:3">
      <c r="A62" s="55" t="s">
        <v>105</v>
      </c>
    </row>
    <row r="63" spans="1:3">
      <c r="A63" s="28" t="s">
        <v>107</v>
      </c>
      <c r="B63">
        <v>1.25</v>
      </c>
      <c r="C63" s="54" t="s">
        <v>78</v>
      </c>
    </row>
    <row r="64" spans="1:3">
      <c r="A64" s="28" t="s">
        <v>106</v>
      </c>
      <c r="B64" s="45">
        <f>$C$14*B63</f>
        <v>3796875</v>
      </c>
    </row>
    <row r="65" spans="1:3">
      <c r="A65" s="28" t="s">
        <v>79</v>
      </c>
      <c r="B65" s="45">
        <f>B64*2.5%</f>
        <v>94921.875</v>
      </c>
      <c r="C65" s="28" t="s">
        <v>80</v>
      </c>
    </row>
    <row r="66" spans="1:3">
      <c r="A66" s="28"/>
      <c r="B66" s="45"/>
    </row>
    <row r="67" spans="1:3">
      <c r="A67" s="28" t="s">
        <v>104</v>
      </c>
      <c r="B67" s="62">
        <f>(B64+B65)/$E$10</f>
        <v>1297265.625</v>
      </c>
    </row>
    <row r="70" spans="1:3">
      <c r="A70" s="28"/>
      <c r="B70" s="45"/>
    </row>
    <row r="71" spans="1:3">
      <c r="A71" s="28"/>
      <c r="B71" s="62"/>
    </row>
  </sheetData>
  <phoneticPr fontId="8" type="noConversion"/>
  <pageMargins left="0.75" right="0.75" top="1" bottom="1" header="0.5" footer="0.5"/>
  <pageSetup orientation="portrait" horizontalDpi="4294967292" verticalDpi="4294967292"/>
  <headerFooter>
    <oddFooter>&amp;L&amp;A&amp;C&amp;"Verdana,Bold"Copyright 2009, 7DS Associates_x000D_www.7dsassociates.com&amp;RPage &amp;P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W54"/>
  <sheetViews>
    <sheetView topLeftCell="A17" workbookViewId="0">
      <selection activeCell="B26" sqref="B26"/>
    </sheetView>
  </sheetViews>
  <sheetFormatPr baseColWidth="10" defaultRowHeight="13"/>
  <cols>
    <col min="1" max="1" width="19.85546875" customWidth="1"/>
    <col min="2" max="2" width="13.42578125" customWidth="1"/>
    <col min="3" max="3" width="12.42578125" customWidth="1"/>
    <col min="4" max="4" width="8.42578125" customWidth="1"/>
    <col min="5" max="6" width="9.5703125" customWidth="1"/>
    <col min="7" max="7" width="8.85546875" customWidth="1"/>
    <col min="8" max="8" width="13" customWidth="1"/>
    <col min="9" max="9" width="8.7109375" customWidth="1"/>
    <col min="10" max="11" width="10.5703125" customWidth="1"/>
    <col min="12" max="12" width="13" customWidth="1"/>
    <col min="13" max="13" width="8.7109375" customWidth="1"/>
    <col min="14" max="14" width="11.140625" customWidth="1"/>
    <col min="15" max="15" width="8.42578125" customWidth="1"/>
    <col min="16" max="17" width="10.28515625" customWidth="1"/>
    <col min="18" max="18" width="7.42578125" customWidth="1"/>
    <col min="19" max="19" width="9.85546875" customWidth="1"/>
    <col min="20" max="20" width="8.28515625" customWidth="1"/>
    <col min="21" max="21" width="12.5703125" customWidth="1"/>
    <col min="22" max="22" width="13.42578125" customWidth="1"/>
    <col min="23" max="23" width="10.140625" customWidth="1"/>
  </cols>
  <sheetData>
    <row r="1" spans="1:5">
      <c r="A1" s="19" t="s">
        <v>21</v>
      </c>
      <c r="B1" t="s">
        <v>18</v>
      </c>
    </row>
    <row r="3" spans="1:5">
      <c r="A3" t="s">
        <v>178</v>
      </c>
      <c r="B3" s="49">
        <f>SUM(F22:F25)</f>
        <v>405</v>
      </c>
    </row>
    <row r="4" spans="1:5">
      <c r="A4" t="s">
        <v>175</v>
      </c>
      <c r="B4" s="23">
        <v>300000</v>
      </c>
    </row>
    <row r="5" spans="1:5">
      <c r="A5" t="s">
        <v>119</v>
      </c>
      <c r="B5" s="23">
        <f>B3*B4</f>
        <v>121500000</v>
      </c>
    </row>
    <row r="6" spans="1:5">
      <c r="A6" t="s">
        <v>176</v>
      </c>
      <c r="B6" s="2">
        <v>2.5000000000000001E-2</v>
      </c>
    </row>
    <row r="7" spans="1:5">
      <c r="A7" t="s">
        <v>177</v>
      </c>
      <c r="B7" s="53">
        <f>B4*B6</f>
        <v>7500</v>
      </c>
    </row>
    <row r="8" spans="1:5">
      <c r="B8" s="53"/>
    </row>
    <row r="9" spans="1:5">
      <c r="A9" s="104" t="s">
        <v>90</v>
      </c>
      <c r="B9" s="103">
        <v>225</v>
      </c>
      <c r="C9" s="73" t="s">
        <v>28</v>
      </c>
    </row>
    <row r="10" spans="1:5">
      <c r="A10" s="104"/>
      <c r="B10" s="103"/>
      <c r="C10" s="73"/>
    </row>
    <row r="11" spans="1:5">
      <c r="A11" s="65" t="s">
        <v>89</v>
      </c>
      <c r="B11" s="63"/>
      <c r="C11" s="73" t="s">
        <v>97</v>
      </c>
      <c r="E11" t="s">
        <v>41</v>
      </c>
    </row>
    <row r="12" spans="1:5">
      <c r="A12" s="32" t="s">
        <v>86</v>
      </c>
      <c r="B12" s="64">
        <v>40</v>
      </c>
      <c r="C12" s="74">
        <f>B12*12</f>
        <v>480</v>
      </c>
    </row>
    <row r="13" spans="1:5">
      <c r="A13" s="32" t="s">
        <v>87</v>
      </c>
      <c r="B13" s="63">
        <v>25</v>
      </c>
      <c r="C13" s="75">
        <f>B13*12</f>
        <v>300</v>
      </c>
    </row>
    <row r="14" spans="1:5">
      <c r="A14" s="32" t="s">
        <v>88</v>
      </c>
      <c r="B14" s="63">
        <v>15</v>
      </c>
      <c r="C14" s="75">
        <f>B14*12</f>
        <v>180</v>
      </c>
    </row>
    <row r="15" spans="1:5">
      <c r="A15" t="s">
        <v>96</v>
      </c>
      <c r="B15" s="63">
        <v>100</v>
      </c>
      <c r="C15" s="75">
        <f>B15*1</f>
        <v>100</v>
      </c>
    </row>
    <row r="16" spans="1:5">
      <c r="B16" s="63"/>
      <c r="C16" s="75">
        <f>SUM(C12:C15)</f>
        <v>1060</v>
      </c>
    </row>
    <row r="17" spans="1:23">
      <c r="B17" s="63"/>
      <c r="C17" s="75"/>
    </row>
    <row r="18" spans="1:23">
      <c r="A18" t="s">
        <v>40</v>
      </c>
      <c r="B18" s="121">
        <v>0.06</v>
      </c>
      <c r="C18" s="75"/>
      <c r="E18" t="s">
        <v>42</v>
      </c>
    </row>
    <row r="19" spans="1:23">
      <c r="B19" s="63"/>
      <c r="C19" s="75"/>
    </row>
    <row r="20" spans="1:23">
      <c r="A20" t="s">
        <v>179</v>
      </c>
      <c r="B20" t="s">
        <v>184</v>
      </c>
      <c r="C20">
        <v>50</v>
      </c>
    </row>
    <row r="21" spans="1:23" s="51" customFormat="1" ht="39">
      <c r="B21" s="52" t="s">
        <v>121</v>
      </c>
      <c r="C21" s="52" t="s">
        <v>122</v>
      </c>
      <c r="D21" s="52" t="s">
        <v>123</v>
      </c>
      <c r="E21" s="52" t="s">
        <v>124</v>
      </c>
      <c r="F21" s="52" t="s">
        <v>125</v>
      </c>
      <c r="G21" s="52" t="s">
        <v>126</v>
      </c>
      <c r="H21" s="52" t="s">
        <v>33</v>
      </c>
      <c r="I21" s="52" t="s">
        <v>43</v>
      </c>
      <c r="J21" s="52" t="s">
        <v>44</v>
      </c>
      <c r="K21" s="52" t="s">
        <v>56</v>
      </c>
      <c r="L21" s="52" t="s">
        <v>45</v>
      </c>
      <c r="M21" s="52" t="s">
        <v>46</v>
      </c>
      <c r="N21" s="52" t="s">
        <v>128</v>
      </c>
      <c r="O21" s="52" t="s">
        <v>129</v>
      </c>
      <c r="P21" s="52" t="s">
        <v>47</v>
      </c>
      <c r="Q21" s="52" t="s">
        <v>48</v>
      </c>
      <c r="R21" s="52" t="s">
        <v>99</v>
      </c>
      <c r="S21" s="52" t="s">
        <v>115</v>
      </c>
      <c r="T21" s="52" t="s">
        <v>116</v>
      </c>
      <c r="U21" s="52" t="s">
        <v>117</v>
      </c>
      <c r="V21" s="51" t="s">
        <v>100</v>
      </c>
      <c r="W21" s="51" t="s">
        <v>101</v>
      </c>
    </row>
    <row r="22" spans="1:23">
      <c r="A22" t="s">
        <v>180</v>
      </c>
      <c r="B22" s="3">
        <v>0.9</v>
      </c>
      <c r="C22">
        <f>ROUND(35*1,0)</f>
        <v>35</v>
      </c>
      <c r="D22" s="3">
        <v>0.1</v>
      </c>
      <c r="E22">
        <f>$C$20*D22</f>
        <v>5</v>
      </c>
      <c r="F22">
        <f>C22*E22</f>
        <v>175</v>
      </c>
      <c r="G22" s="35">
        <f>F22/$B$3</f>
        <v>0.43209876543209874</v>
      </c>
      <c r="H22" s="23">
        <f>F22*$B$7</f>
        <v>1312500</v>
      </c>
      <c r="I22" s="23">
        <f>H22/E22</f>
        <v>262500</v>
      </c>
      <c r="J22" s="23">
        <f>H22*$B$18</f>
        <v>78750</v>
      </c>
      <c r="K22" s="23">
        <f>J22/E22</f>
        <v>15750</v>
      </c>
      <c r="L22" s="23">
        <f>H22-J22</f>
        <v>1233750</v>
      </c>
      <c r="M22" s="23">
        <f>L22/E22</f>
        <v>246750</v>
      </c>
      <c r="N22" s="44">
        <f>L22*(1-B22)</f>
        <v>123374.99999999997</v>
      </c>
      <c r="O22" s="45">
        <f>N22/E22</f>
        <v>24674.999999999993</v>
      </c>
      <c r="P22" s="45">
        <f>$B$9*F22</f>
        <v>39375</v>
      </c>
      <c r="Q22" s="45">
        <f>$C$16*E22</f>
        <v>5300</v>
      </c>
      <c r="R22" s="129">
        <v>0.1</v>
      </c>
      <c r="S22">
        <f>ROUND(F22*R22,0)</f>
        <v>18</v>
      </c>
      <c r="T22" s="14">
        <v>0.25</v>
      </c>
      <c r="U22" s="23">
        <f>ROUNDUP(T22*S22*$B$7,0)</f>
        <v>33750</v>
      </c>
      <c r="V22">
        <f>ROUNDUP(((R22*F22)/E22),0)</f>
        <v>4</v>
      </c>
      <c r="W22" s="53">
        <f>$B$7*T22*V22</f>
        <v>7500</v>
      </c>
    </row>
    <row r="23" spans="1:23">
      <c r="A23" t="s">
        <v>181</v>
      </c>
      <c r="B23" s="3">
        <v>0.8</v>
      </c>
      <c r="C23" s="100">
        <v>13</v>
      </c>
      <c r="D23" s="3">
        <v>0.2</v>
      </c>
      <c r="E23">
        <f t="shared" ref="E23:E25" si="0">$C$20*D23</f>
        <v>10</v>
      </c>
      <c r="F23">
        <f t="shared" ref="F23:F25" si="1">C23*E23</f>
        <v>130</v>
      </c>
      <c r="G23" s="35">
        <f t="shared" ref="G23:G26" si="2">F23/$B$3</f>
        <v>0.32098765432098764</v>
      </c>
      <c r="H23" s="23">
        <f t="shared" ref="H23:H25" si="3">F23*$B$7</f>
        <v>975000</v>
      </c>
      <c r="I23" s="23">
        <f t="shared" ref="I23:I26" si="4">H23/E23</f>
        <v>97500</v>
      </c>
      <c r="J23" s="23">
        <f t="shared" ref="J23:J25" si="5">H23*$B$18</f>
        <v>58500</v>
      </c>
      <c r="K23" s="23">
        <f t="shared" ref="K23:K25" si="6">J23/E23</f>
        <v>5850</v>
      </c>
      <c r="L23" s="23">
        <f t="shared" ref="L23:L25" si="7">H23-J23</f>
        <v>916500</v>
      </c>
      <c r="M23" s="23">
        <f t="shared" ref="M23:M25" si="8">L23/E23</f>
        <v>91650</v>
      </c>
      <c r="N23" s="44">
        <f t="shared" ref="N23:N25" si="9">L23*(1-B23)</f>
        <v>183299.99999999997</v>
      </c>
      <c r="O23" s="45">
        <f t="shared" ref="O23:O25" si="10">N23/E23</f>
        <v>18329.999999999996</v>
      </c>
      <c r="P23" s="45">
        <f t="shared" ref="P23:P25" si="11">$B$9*F23</f>
        <v>29250</v>
      </c>
      <c r="Q23" s="45">
        <f t="shared" ref="Q23:Q25" si="12">$C$16*E23</f>
        <v>10600</v>
      </c>
      <c r="R23" s="129">
        <v>0.25</v>
      </c>
      <c r="S23">
        <f t="shared" ref="S23:S25" si="13">ROUND(F23*R23,0)</f>
        <v>33</v>
      </c>
      <c r="T23" s="14">
        <v>0.25</v>
      </c>
      <c r="U23" s="23">
        <f t="shared" ref="U23:U25" si="14">ROUNDUP(T23*S23*$B$7,0)</f>
        <v>61875</v>
      </c>
      <c r="V23">
        <f t="shared" ref="V23:V25" si="15">ROUNDUP(((R23*F23)/E23),0)</f>
        <v>4</v>
      </c>
      <c r="W23" s="53">
        <f t="shared" ref="W23:W25" si="16">$B$7*T23*V23</f>
        <v>7500</v>
      </c>
    </row>
    <row r="24" spans="1:23">
      <c r="A24" t="s">
        <v>182</v>
      </c>
      <c r="B24" s="3">
        <v>0.7</v>
      </c>
      <c r="C24" s="100">
        <v>4</v>
      </c>
      <c r="D24" s="3">
        <v>0.3</v>
      </c>
      <c r="E24">
        <f t="shared" si="0"/>
        <v>15</v>
      </c>
      <c r="F24">
        <f t="shared" si="1"/>
        <v>60</v>
      </c>
      <c r="G24" s="35">
        <f t="shared" si="2"/>
        <v>0.14814814814814814</v>
      </c>
      <c r="H24" s="23">
        <f t="shared" si="3"/>
        <v>450000</v>
      </c>
      <c r="I24" s="23">
        <f t="shared" si="4"/>
        <v>30000</v>
      </c>
      <c r="J24" s="23">
        <f t="shared" si="5"/>
        <v>27000</v>
      </c>
      <c r="K24" s="23">
        <f t="shared" si="6"/>
        <v>1800</v>
      </c>
      <c r="L24" s="23">
        <f t="shared" si="7"/>
        <v>423000</v>
      </c>
      <c r="M24" s="23">
        <f t="shared" si="8"/>
        <v>28200</v>
      </c>
      <c r="N24" s="44">
        <f t="shared" si="9"/>
        <v>126900.00000000001</v>
      </c>
      <c r="O24" s="45">
        <f t="shared" si="10"/>
        <v>8460.0000000000018</v>
      </c>
      <c r="P24" s="45">
        <f t="shared" si="11"/>
        <v>13500</v>
      </c>
      <c r="Q24" s="45">
        <f t="shared" si="12"/>
        <v>15900</v>
      </c>
      <c r="R24" s="129">
        <v>0.5</v>
      </c>
      <c r="S24">
        <f t="shared" si="13"/>
        <v>30</v>
      </c>
      <c r="T24" s="14">
        <v>0.25</v>
      </c>
      <c r="U24" s="23">
        <f t="shared" si="14"/>
        <v>56250</v>
      </c>
      <c r="V24">
        <f t="shared" si="15"/>
        <v>2</v>
      </c>
      <c r="W24" s="53">
        <f t="shared" si="16"/>
        <v>3750</v>
      </c>
    </row>
    <row r="25" spans="1:23">
      <c r="A25" t="s">
        <v>183</v>
      </c>
      <c r="B25" s="3">
        <v>0.7</v>
      </c>
      <c r="C25" s="101">
        <v>2</v>
      </c>
      <c r="D25" s="9">
        <v>0.4</v>
      </c>
      <c r="E25" s="8">
        <f t="shared" si="0"/>
        <v>20</v>
      </c>
      <c r="F25" s="8">
        <f t="shared" si="1"/>
        <v>40</v>
      </c>
      <c r="G25" s="10">
        <f t="shared" si="2"/>
        <v>9.8765432098765427E-2</v>
      </c>
      <c r="H25" s="16">
        <f t="shared" si="3"/>
        <v>300000</v>
      </c>
      <c r="I25" s="16">
        <f t="shared" si="4"/>
        <v>15000</v>
      </c>
      <c r="J25" s="16">
        <f t="shared" si="5"/>
        <v>18000</v>
      </c>
      <c r="K25" s="16">
        <f t="shared" si="6"/>
        <v>900</v>
      </c>
      <c r="L25" s="16">
        <f t="shared" si="7"/>
        <v>282000</v>
      </c>
      <c r="M25" s="16">
        <f t="shared" si="8"/>
        <v>14100</v>
      </c>
      <c r="N25" s="34">
        <f t="shared" si="9"/>
        <v>84600.000000000015</v>
      </c>
      <c r="O25" s="12">
        <f t="shared" si="10"/>
        <v>4230.0000000000009</v>
      </c>
      <c r="P25" s="12">
        <f t="shared" si="11"/>
        <v>9000</v>
      </c>
      <c r="Q25" s="12">
        <f t="shared" si="12"/>
        <v>21200</v>
      </c>
      <c r="R25" s="130">
        <v>0.75</v>
      </c>
      <c r="S25" s="8">
        <f t="shared" si="13"/>
        <v>30</v>
      </c>
      <c r="T25" s="50">
        <v>0.25</v>
      </c>
      <c r="U25" s="16">
        <f t="shared" si="14"/>
        <v>56250</v>
      </c>
      <c r="V25" s="8">
        <f t="shared" si="15"/>
        <v>2</v>
      </c>
      <c r="W25" s="59">
        <f t="shared" si="16"/>
        <v>3750</v>
      </c>
    </row>
    <row r="26" spans="1:23">
      <c r="A26" t="s">
        <v>158</v>
      </c>
      <c r="D26" s="3">
        <f>SUM(D22:D25)</f>
        <v>1</v>
      </c>
      <c r="E26">
        <f>SUM(E22:E25)</f>
        <v>50</v>
      </c>
      <c r="F26">
        <f>SUM(F22:F25)</f>
        <v>405</v>
      </c>
      <c r="G26" s="35">
        <f t="shared" si="2"/>
        <v>1</v>
      </c>
      <c r="H26" s="92">
        <f>SUM(H22:H25)</f>
        <v>3037500</v>
      </c>
      <c r="I26" s="23">
        <f t="shared" si="4"/>
        <v>60750</v>
      </c>
      <c r="J26" s="23">
        <f>SUM(J22:J25)</f>
        <v>182250</v>
      </c>
      <c r="K26" s="23"/>
      <c r="L26" s="92">
        <f>SUM(L22:L25)</f>
        <v>2855250</v>
      </c>
      <c r="M26" s="23"/>
      <c r="N26" s="18">
        <f>SUM(N22:N25)</f>
        <v>518174.99999999994</v>
      </c>
      <c r="O26" s="23"/>
      <c r="P26" s="105">
        <f>SUM(P22:P25)</f>
        <v>91125</v>
      </c>
      <c r="Q26" s="105">
        <f>SUM(Q22:Q25)</f>
        <v>53000</v>
      </c>
      <c r="S26">
        <f>SUM(S22:S25)</f>
        <v>111</v>
      </c>
      <c r="U26" s="58">
        <f>SUM(U22:U25)</f>
        <v>208125</v>
      </c>
    </row>
    <row r="28" spans="1:23">
      <c r="A28" t="s">
        <v>49</v>
      </c>
      <c r="C28" s="122">
        <f>N26</f>
        <v>518174.99999999994</v>
      </c>
    </row>
    <row r="29" spans="1:23">
      <c r="C29" s="120">
        <f>C28/H26</f>
        <v>0.17059259259259257</v>
      </c>
    </row>
    <row r="30" spans="1:23">
      <c r="A30" t="s">
        <v>50</v>
      </c>
      <c r="C30" s="45">
        <f>P26+Q26</f>
        <v>144125</v>
      </c>
    </row>
    <row r="31" spans="1:23">
      <c r="C31" s="120">
        <f>C30/H26</f>
        <v>4.744855967078189E-2</v>
      </c>
    </row>
    <row r="32" spans="1:23">
      <c r="A32" t="s">
        <v>51</v>
      </c>
      <c r="C32" s="122">
        <f>U26</f>
        <v>208125</v>
      </c>
    </row>
    <row r="33" spans="1:4">
      <c r="C33" s="120">
        <f>C32/H26</f>
        <v>6.851851851851852E-2</v>
      </c>
    </row>
    <row r="34" spans="1:4">
      <c r="A34" s="55" t="s">
        <v>54</v>
      </c>
      <c r="B34" s="55"/>
      <c r="C34" s="127">
        <f>C28+C30+C32</f>
        <v>870425</v>
      </c>
    </row>
    <row r="35" spans="1:4">
      <c r="C35" s="120">
        <f>C34/H26</f>
        <v>0.28655967078189298</v>
      </c>
    </row>
    <row r="37" spans="1:4">
      <c r="A37" s="55" t="s">
        <v>55</v>
      </c>
      <c r="B37" t="s">
        <v>113</v>
      </c>
    </row>
    <row r="39" spans="1:4">
      <c r="A39" s="54" t="s">
        <v>130</v>
      </c>
    </row>
    <row r="41" spans="1:4">
      <c r="A41" t="s">
        <v>186</v>
      </c>
      <c r="B41" s="131">
        <f>'SIMOPT-LG'!B41</f>
        <v>2.2222222222222223E-2</v>
      </c>
      <c r="C41" s="23">
        <f>B41*$H$26</f>
        <v>67500</v>
      </c>
      <c r="D41" t="s">
        <v>17</v>
      </c>
    </row>
    <row r="42" spans="1:4">
      <c r="A42" t="s">
        <v>187</v>
      </c>
      <c r="B42" s="131">
        <f>'SIMOPT-LG'!B42</f>
        <v>4.4444444444444446E-2</v>
      </c>
      <c r="C42" s="23">
        <f t="shared" ref="C42:C44" si="17">B42*$H$26</f>
        <v>135000</v>
      </c>
      <c r="D42" t="s">
        <v>58</v>
      </c>
    </row>
    <row r="43" spans="1:4">
      <c r="A43" t="s">
        <v>108</v>
      </c>
      <c r="B43" s="131">
        <f>'SIMOPT-LG'!B43</f>
        <v>6.6666666666666666E-2</v>
      </c>
      <c r="C43" s="23">
        <f t="shared" si="17"/>
        <v>202500</v>
      </c>
      <c r="D43" t="s">
        <v>59</v>
      </c>
    </row>
    <row r="44" spans="1:4">
      <c r="A44" t="s">
        <v>109</v>
      </c>
      <c r="B44" s="131">
        <f>'SIMOPT-LG'!B44</f>
        <v>2.2222222222222223E-2</v>
      </c>
      <c r="C44" s="23">
        <f t="shared" si="17"/>
        <v>67500</v>
      </c>
      <c r="D44" t="s">
        <v>57</v>
      </c>
    </row>
    <row r="45" spans="1:4">
      <c r="A45" t="s">
        <v>110</v>
      </c>
      <c r="C45" s="18">
        <f>SUM(C41:C44)</f>
        <v>472500</v>
      </c>
      <c r="D45" s="21"/>
    </row>
    <row r="47" spans="1:4">
      <c r="A47" t="s">
        <v>111</v>
      </c>
      <c r="C47" s="123">
        <f>C34-C45</f>
        <v>397925</v>
      </c>
    </row>
    <row r="48" spans="1:4">
      <c r="A48" t="s">
        <v>52</v>
      </c>
      <c r="C48" s="20">
        <f>C47/H26</f>
        <v>0.13100411522633745</v>
      </c>
    </row>
    <row r="49" spans="1:8">
      <c r="C49" s="20"/>
      <c r="F49" s="20"/>
      <c r="H49" s="55" t="s">
        <v>53</v>
      </c>
    </row>
    <row r="50" spans="1:8">
      <c r="A50" t="s">
        <v>137</v>
      </c>
      <c r="C50" s="126">
        <f>M22</f>
        <v>246750</v>
      </c>
      <c r="D50" s="45">
        <f>P22/E22</f>
        <v>7875</v>
      </c>
      <c r="E50" s="45">
        <f>Q22/E22</f>
        <v>1060</v>
      </c>
      <c r="F50" s="93">
        <f>W22</f>
        <v>7500</v>
      </c>
      <c r="H50" s="125">
        <f>C50-D50-E50-F50</f>
        <v>230315</v>
      </c>
    </row>
    <row r="51" spans="1:8">
      <c r="A51" t="s">
        <v>138</v>
      </c>
      <c r="C51" s="126">
        <f t="shared" ref="C51:C52" si="18">M23</f>
        <v>91650</v>
      </c>
      <c r="D51" s="45">
        <f t="shared" ref="D51:D53" si="19">P23/E23</f>
        <v>2925</v>
      </c>
      <c r="E51" s="45">
        <f t="shared" ref="E51:E53" si="20">Q23/E23</f>
        <v>1060</v>
      </c>
      <c r="F51" s="124">
        <f t="shared" ref="F51:F53" si="21">W23</f>
        <v>7500</v>
      </c>
      <c r="H51" s="125">
        <f t="shared" ref="H51:H53" si="22">C51-D51-E51-F51</f>
        <v>80165</v>
      </c>
    </row>
    <row r="52" spans="1:8">
      <c r="A52" t="s">
        <v>139</v>
      </c>
      <c r="C52" s="126">
        <f t="shared" si="18"/>
        <v>28200</v>
      </c>
      <c r="D52" s="45">
        <f t="shared" si="19"/>
        <v>900</v>
      </c>
      <c r="E52" s="45">
        <f t="shared" si="20"/>
        <v>1060</v>
      </c>
      <c r="F52" s="124">
        <f t="shared" si="21"/>
        <v>3750</v>
      </c>
      <c r="H52" s="125">
        <f t="shared" si="22"/>
        <v>22490</v>
      </c>
    </row>
    <row r="53" spans="1:8">
      <c r="A53" t="s">
        <v>140</v>
      </c>
      <c r="C53" s="126">
        <f>M25</f>
        <v>14100</v>
      </c>
      <c r="D53" s="45">
        <f t="shared" si="19"/>
        <v>450</v>
      </c>
      <c r="E53" s="45">
        <f t="shared" si="20"/>
        <v>1060</v>
      </c>
      <c r="F53" s="124">
        <f t="shared" si="21"/>
        <v>3750</v>
      </c>
      <c r="H53" s="125">
        <f t="shared" si="22"/>
        <v>8840</v>
      </c>
    </row>
    <row r="54" spans="1:8">
      <c r="C54" s="20"/>
      <c r="F54" s="20"/>
    </row>
  </sheetData>
  <phoneticPr fontId="8" type="noConversion"/>
  <pageMargins left="0.75" right="0.75" top="1" bottom="1" header="0.5" footer="0.5"/>
  <pageSetup orientation="portrait" horizontalDpi="4294967292" verticalDpi="4294967292"/>
  <headerFooter>
    <oddFooter>&amp;L&amp;A&amp;C&amp;"Verdana,Bold"Copyright 2009, 7DS Associates_x000D_www.7dsassociates.com&amp;RPage &amp;P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R72"/>
  <sheetViews>
    <sheetView topLeftCell="A36" workbookViewId="0">
      <selection activeCell="C2" sqref="C2"/>
    </sheetView>
  </sheetViews>
  <sheetFormatPr baseColWidth="10" defaultRowHeight="13"/>
  <cols>
    <col min="1" max="1" width="19.85546875" customWidth="1"/>
    <col min="2" max="2" width="13.42578125" customWidth="1"/>
    <col min="3" max="3" width="12.42578125" style="73" customWidth="1"/>
    <col min="4" max="4" width="10.42578125" customWidth="1"/>
    <col min="5" max="5" width="11.28515625" customWidth="1"/>
    <col min="6" max="6" width="9.85546875" customWidth="1"/>
    <col min="8" max="8" width="11" customWidth="1"/>
    <col min="9" max="9" width="8.7109375" customWidth="1"/>
    <col min="11" max="11" width="7.5703125" customWidth="1"/>
    <col min="12" max="12" width="11.7109375" customWidth="1"/>
    <col min="13" max="13" width="10.5703125" customWidth="1"/>
    <col min="14" max="15" width="10.42578125" customWidth="1"/>
    <col min="16" max="16" width="11.7109375" customWidth="1"/>
    <col min="20" max="20" width="9.28515625" customWidth="1"/>
  </cols>
  <sheetData>
    <row r="1" spans="1:5">
      <c r="A1" s="19" t="s">
        <v>22</v>
      </c>
    </row>
    <row r="3" spans="1:5">
      <c r="A3" t="s">
        <v>178</v>
      </c>
      <c r="B3" s="49">
        <f>SUM(F30:F33)</f>
        <v>405</v>
      </c>
    </row>
    <row r="4" spans="1:5">
      <c r="A4" t="s">
        <v>175</v>
      </c>
      <c r="B4" s="23">
        <v>300000</v>
      </c>
    </row>
    <row r="5" spans="1:5">
      <c r="A5" t="s">
        <v>119</v>
      </c>
      <c r="B5" s="23">
        <f>B3*B4</f>
        <v>121500000</v>
      </c>
    </row>
    <row r="6" spans="1:5">
      <c r="A6" t="s">
        <v>176</v>
      </c>
      <c r="B6" s="2">
        <v>2.5000000000000001E-2</v>
      </c>
    </row>
    <row r="7" spans="1:5">
      <c r="A7" t="s">
        <v>177</v>
      </c>
      <c r="B7" s="53">
        <f>B4*B6</f>
        <v>7500</v>
      </c>
    </row>
    <row r="9" spans="1:5">
      <c r="A9" s="8" t="s">
        <v>95</v>
      </c>
    </row>
    <row r="10" spans="1:5">
      <c r="A10" s="28" t="s">
        <v>91</v>
      </c>
      <c r="B10" s="14">
        <v>0.3</v>
      </c>
    </row>
    <row r="11" spans="1:5">
      <c r="A11" s="28" t="s">
        <v>84</v>
      </c>
      <c r="B11" s="63">
        <v>22000</v>
      </c>
    </row>
    <row r="12" spans="1:5">
      <c r="A12" s="28" t="s">
        <v>82</v>
      </c>
      <c r="B12" s="3">
        <v>0.06</v>
      </c>
    </row>
    <row r="13" spans="1:5">
      <c r="A13" s="28" t="s">
        <v>83</v>
      </c>
      <c r="B13" s="63">
        <v>3000</v>
      </c>
    </row>
    <row r="14" spans="1:5">
      <c r="B14" s="63"/>
    </row>
    <row r="15" spans="1:5">
      <c r="A15" s="66" t="s">
        <v>90</v>
      </c>
      <c r="B15" s="103">
        <v>225</v>
      </c>
    </row>
    <row r="16" spans="1:5">
      <c r="A16" s="28"/>
      <c r="B16" s="63"/>
      <c r="E16" s="57"/>
    </row>
    <row r="17" spans="1:18">
      <c r="A17" s="28"/>
      <c r="B17" s="63"/>
      <c r="E17" s="57"/>
    </row>
    <row r="18" spans="1:18">
      <c r="A18" s="65" t="s">
        <v>89</v>
      </c>
      <c r="B18" s="63"/>
      <c r="C18" s="73" t="s">
        <v>97</v>
      </c>
    </row>
    <row r="19" spans="1:18">
      <c r="A19" s="32" t="s">
        <v>86</v>
      </c>
      <c r="B19" s="64">
        <v>40</v>
      </c>
      <c r="C19" s="74">
        <f>B19*12</f>
        <v>480</v>
      </c>
    </row>
    <row r="20" spans="1:18">
      <c r="A20" s="32" t="s">
        <v>87</v>
      </c>
      <c r="B20" s="63">
        <v>25</v>
      </c>
      <c r="C20" s="75">
        <f>B20*12</f>
        <v>300</v>
      </c>
    </row>
    <row r="21" spans="1:18">
      <c r="A21" s="32" t="s">
        <v>88</v>
      </c>
      <c r="B21" s="63">
        <v>15</v>
      </c>
      <c r="C21" s="75">
        <f>B21*12</f>
        <v>180</v>
      </c>
    </row>
    <row r="22" spans="1:18">
      <c r="A22" t="s">
        <v>96</v>
      </c>
      <c r="B22" s="63">
        <v>100</v>
      </c>
      <c r="C22" s="128">
        <f>B22*1</f>
        <v>100</v>
      </c>
    </row>
    <row r="23" spans="1:18">
      <c r="B23" s="63"/>
      <c r="C23" s="75">
        <f>SUM(C19:C22)</f>
        <v>1060</v>
      </c>
    </row>
    <row r="25" spans="1:18">
      <c r="A25" s="56" t="s">
        <v>131</v>
      </c>
    </row>
    <row r="26" spans="1:18">
      <c r="A26" s="56"/>
    </row>
    <row r="27" spans="1:18">
      <c r="A27" s="67" t="s">
        <v>94</v>
      </c>
      <c r="B27">
        <v>50</v>
      </c>
    </row>
    <row r="29" spans="1:18" s="51" customFormat="1" ht="39">
      <c r="B29" s="52" t="s">
        <v>121</v>
      </c>
      <c r="C29" s="76" t="s">
        <v>122</v>
      </c>
      <c r="D29" s="52" t="s">
        <v>123</v>
      </c>
      <c r="E29" s="52" t="s">
        <v>124</v>
      </c>
      <c r="F29" s="52" t="s">
        <v>125</v>
      </c>
      <c r="G29" s="52" t="s">
        <v>126</v>
      </c>
      <c r="H29" s="52" t="s">
        <v>33</v>
      </c>
      <c r="I29" s="52" t="s">
        <v>127</v>
      </c>
      <c r="J29" s="52" t="s">
        <v>66</v>
      </c>
      <c r="K29" s="52" t="s">
        <v>65</v>
      </c>
      <c r="L29" s="52" t="s">
        <v>30</v>
      </c>
      <c r="M29" s="52" t="s">
        <v>31</v>
      </c>
      <c r="N29" s="52" t="s">
        <v>92</v>
      </c>
      <c r="O29" s="52" t="s">
        <v>93</v>
      </c>
      <c r="P29" s="52" t="s">
        <v>32</v>
      </c>
      <c r="Q29" s="52" t="s">
        <v>64</v>
      </c>
      <c r="R29" s="52" t="s">
        <v>89</v>
      </c>
    </row>
    <row r="30" spans="1:18">
      <c r="A30" t="s">
        <v>180</v>
      </c>
      <c r="B30" s="3">
        <f>1-$B$10</f>
        <v>0.7</v>
      </c>
      <c r="C30" s="73">
        <f>ROUND(35*1,0)</f>
        <v>35</v>
      </c>
      <c r="D30" s="3">
        <v>0.1</v>
      </c>
      <c r="E30">
        <f>$B$27*D30</f>
        <v>5</v>
      </c>
      <c r="F30">
        <f>C30*E30</f>
        <v>175</v>
      </c>
      <c r="G30" s="35">
        <f>F30/$B$3</f>
        <v>0.43209876543209874</v>
      </c>
      <c r="H30" s="23">
        <f>F30*$B$7</f>
        <v>1312500</v>
      </c>
      <c r="I30" s="23">
        <f>H30/E30</f>
        <v>262500</v>
      </c>
      <c r="J30" s="44">
        <f>K30*E30</f>
        <v>15000</v>
      </c>
      <c r="K30" s="44">
        <f>IF((I30*$B$12)&gt;$B$13,$B$13,(I30*$B$12))</f>
        <v>3000</v>
      </c>
      <c r="L30" s="44">
        <f>H30-J30</f>
        <v>1297500</v>
      </c>
      <c r="M30" s="23">
        <f>L30/E30</f>
        <v>259500</v>
      </c>
      <c r="N30" s="23">
        <f>M30*$B$10</f>
        <v>77850</v>
      </c>
      <c r="O30" s="23">
        <f>IF(N30&gt;$B$11, $B$11, N30)</f>
        <v>22000</v>
      </c>
      <c r="P30" s="44">
        <f>O30*E30</f>
        <v>110000</v>
      </c>
      <c r="Q30" s="70">
        <f>F30*$B$15</f>
        <v>39375</v>
      </c>
      <c r="R30" s="99">
        <f>$C$23*E30</f>
        <v>5300</v>
      </c>
    </row>
    <row r="31" spans="1:18">
      <c r="A31" t="s">
        <v>181</v>
      </c>
      <c r="B31" s="3">
        <f t="shared" ref="B31:B33" si="0">1-$B$10</f>
        <v>0.7</v>
      </c>
      <c r="C31" s="100">
        <v>13</v>
      </c>
      <c r="D31" s="3">
        <v>0.2</v>
      </c>
      <c r="E31">
        <f>$B$27*D31</f>
        <v>10</v>
      </c>
      <c r="F31">
        <f t="shared" ref="F31:F33" si="1">C31*E31</f>
        <v>130</v>
      </c>
      <c r="G31" s="35">
        <f t="shared" ref="G31:G34" si="2">F31/$B$3</f>
        <v>0.32098765432098764</v>
      </c>
      <c r="H31" s="23">
        <f t="shared" ref="H31:H33" si="3">F31*$B$7</f>
        <v>975000</v>
      </c>
      <c r="I31" s="23">
        <f t="shared" ref="I31:I34" si="4">H31/E31</f>
        <v>97500</v>
      </c>
      <c r="J31" s="44">
        <f>K31*E31</f>
        <v>30000</v>
      </c>
      <c r="K31" s="44">
        <f>IF((I31*$B$12)&gt;$B$13,$B$13,(I31*$B$12))</f>
        <v>3000</v>
      </c>
      <c r="L31" s="44">
        <f t="shared" ref="L31:L33" si="5">H31-J31</f>
        <v>945000</v>
      </c>
      <c r="M31" s="23">
        <f t="shared" ref="M31:M33" si="6">L31/E31</f>
        <v>94500</v>
      </c>
      <c r="N31" s="23">
        <f t="shared" ref="N31:N33" si="7">M31*$B$10</f>
        <v>28350</v>
      </c>
      <c r="O31" s="23">
        <f t="shared" ref="O31:O33" si="8">IF(N31&gt;$B$11, $B$11, N31)</f>
        <v>22000</v>
      </c>
      <c r="P31" s="44">
        <f t="shared" ref="P31:P33" si="9">O31*E31</f>
        <v>220000</v>
      </c>
      <c r="Q31" s="70">
        <f t="shared" ref="Q31:Q33" si="10">F31*$B$15</f>
        <v>29250</v>
      </c>
      <c r="R31" s="99">
        <f t="shared" ref="R31:R33" si="11">$C$23*E31</f>
        <v>10600</v>
      </c>
    </row>
    <row r="32" spans="1:18">
      <c r="A32" t="s">
        <v>182</v>
      </c>
      <c r="B32" s="3">
        <f t="shared" si="0"/>
        <v>0.7</v>
      </c>
      <c r="C32" s="100">
        <v>4</v>
      </c>
      <c r="D32" s="3">
        <v>0.3</v>
      </c>
      <c r="E32">
        <f>$B$27*D32</f>
        <v>15</v>
      </c>
      <c r="F32">
        <f t="shared" si="1"/>
        <v>60</v>
      </c>
      <c r="G32" s="35">
        <f t="shared" si="2"/>
        <v>0.14814814814814814</v>
      </c>
      <c r="H32" s="23">
        <f t="shared" si="3"/>
        <v>450000</v>
      </c>
      <c r="I32" s="23">
        <f t="shared" si="4"/>
        <v>30000</v>
      </c>
      <c r="J32" s="44">
        <f>K32*E32</f>
        <v>27000</v>
      </c>
      <c r="K32" s="44">
        <f>IF((I32*$B$12)&gt;$B$13,$B$13,(I32*$B$12))</f>
        <v>1800</v>
      </c>
      <c r="L32" s="44">
        <f t="shared" si="5"/>
        <v>423000</v>
      </c>
      <c r="M32" s="23">
        <f t="shared" si="6"/>
        <v>28200</v>
      </c>
      <c r="N32" s="23">
        <f t="shared" si="7"/>
        <v>8460</v>
      </c>
      <c r="O32" s="23">
        <f t="shared" si="8"/>
        <v>8460</v>
      </c>
      <c r="P32" s="44">
        <f t="shared" si="9"/>
        <v>126900</v>
      </c>
      <c r="Q32" s="70">
        <f t="shared" si="10"/>
        <v>13500</v>
      </c>
      <c r="R32" s="99">
        <f t="shared" si="11"/>
        <v>15900</v>
      </c>
    </row>
    <row r="33" spans="1:18">
      <c r="A33" t="s">
        <v>183</v>
      </c>
      <c r="B33" s="3">
        <f t="shared" si="0"/>
        <v>0.7</v>
      </c>
      <c r="C33" s="101">
        <v>2</v>
      </c>
      <c r="D33" s="9">
        <v>0.4</v>
      </c>
      <c r="E33" s="8">
        <f>$B$27*D33</f>
        <v>20</v>
      </c>
      <c r="F33" s="8">
        <f t="shared" si="1"/>
        <v>40</v>
      </c>
      <c r="G33" s="10">
        <f t="shared" si="2"/>
        <v>9.8765432098765427E-2</v>
      </c>
      <c r="H33" s="16">
        <f t="shared" si="3"/>
        <v>300000</v>
      </c>
      <c r="I33" s="16">
        <f t="shared" si="4"/>
        <v>15000</v>
      </c>
      <c r="J33" s="34">
        <f>K33*E33</f>
        <v>18000</v>
      </c>
      <c r="K33" s="34">
        <f>IF((I33*$B$12)&gt;$B$13,$B$13,(I33*$B$12))</f>
        <v>900</v>
      </c>
      <c r="L33" s="34">
        <f t="shared" si="5"/>
        <v>282000</v>
      </c>
      <c r="M33" s="16">
        <f t="shared" si="6"/>
        <v>14100</v>
      </c>
      <c r="N33" s="16">
        <f t="shared" si="7"/>
        <v>4230</v>
      </c>
      <c r="O33" s="16">
        <f t="shared" si="8"/>
        <v>4230</v>
      </c>
      <c r="P33" s="34">
        <f t="shared" si="9"/>
        <v>84600</v>
      </c>
      <c r="Q33" s="71">
        <f t="shared" si="10"/>
        <v>9000</v>
      </c>
      <c r="R33" s="68">
        <f t="shared" si="11"/>
        <v>21200</v>
      </c>
    </row>
    <row r="34" spans="1:18">
      <c r="A34" t="s">
        <v>158</v>
      </c>
      <c r="D34" s="3">
        <f>SUM(D30:D33)</f>
        <v>1</v>
      </c>
      <c r="E34">
        <f>SUM(E30:E33)</f>
        <v>50</v>
      </c>
      <c r="F34">
        <f>SUM(F30:F33)</f>
        <v>405</v>
      </c>
      <c r="G34" s="35">
        <f t="shared" si="2"/>
        <v>1</v>
      </c>
      <c r="H34" s="23">
        <f>SUM(H30:H33)</f>
        <v>3037500</v>
      </c>
      <c r="I34" s="23">
        <f t="shared" si="4"/>
        <v>60750</v>
      </c>
      <c r="J34" s="69">
        <f t="shared" ref="J34" si="12">SUM(J30:J33)</f>
        <v>90000</v>
      </c>
      <c r="L34" s="69">
        <f>SUM(L30:L33)</f>
        <v>2947500</v>
      </c>
      <c r="M34" s="23"/>
      <c r="N34" s="23"/>
      <c r="O34" s="23"/>
      <c r="P34" s="105">
        <f>SUM(P30:P33)</f>
        <v>541500</v>
      </c>
      <c r="Q34" s="69">
        <f t="shared" ref="Q34:R34" si="13">SUM(Q30:Q33)</f>
        <v>91125</v>
      </c>
      <c r="R34" s="69">
        <f t="shared" si="13"/>
        <v>53000</v>
      </c>
    </row>
    <row r="36" spans="1:18">
      <c r="A36" t="s">
        <v>29</v>
      </c>
      <c r="C36" s="80">
        <f>P34</f>
        <v>541500</v>
      </c>
    </row>
    <row r="37" spans="1:18">
      <c r="C37" s="106">
        <f>C36/H34</f>
        <v>0.1782716049382716</v>
      </c>
    </row>
    <row r="38" spans="1:18">
      <c r="A38" t="s">
        <v>34</v>
      </c>
      <c r="C38" s="107">
        <f>Q34+R34</f>
        <v>144125</v>
      </c>
    </row>
    <row r="39" spans="1:18">
      <c r="C39" s="106">
        <f>C38/H34</f>
        <v>4.744855967078189E-2</v>
      </c>
    </row>
    <row r="40" spans="1:18">
      <c r="A40" s="55" t="s">
        <v>35</v>
      </c>
      <c r="C40" s="78">
        <f>SUM(P34:R34)</f>
        <v>685625</v>
      </c>
      <c r="J40" s="13"/>
      <c r="K40" s="13"/>
      <c r="L40" s="13"/>
      <c r="P40" s="13"/>
    </row>
    <row r="41" spans="1:18">
      <c r="C41" s="79">
        <f>C40/H34</f>
        <v>0.2257201646090535</v>
      </c>
    </row>
    <row r="43" spans="1:18">
      <c r="A43" t="s">
        <v>159</v>
      </c>
      <c r="B43" t="s">
        <v>113</v>
      </c>
    </row>
    <row r="45" spans="1:18">
      <c r="A45" s="54"/>
    </row>
    <row r="46" spans="1:18">
      <c r="A46" t="s">
        <v>186</v>
      </c>
      <c r="B46" s="131">
        <f>'KDOPT-LG'!B46</f>
        <v>2.2222222222222223E-2</v>
      </c>
      <c r="C46" s="81">
        <f>B46*$H$34</f>
        <v>67500</v>
      </c>
      <c r="D46" t="s">
        <v>20</v>
      </c>
      <c r="P46" s="72"/>
    </row>
    <row r="47" spans="1:18">
      <c r="A47" t="s">
        <v>187</v>
      </c>
      <c r="B47" s="131">
        <f ca="1">'KDOPT-LG'!B47</f>
        <v>4.4444444444444446E-2</v>
      </c>
      <c r="C47" s="81">
        <f t="shared" ref="C47:C49" ca="1" si="14">B47*$H$34</f>
        <v>135000</v>
      </c>
      <c r="D47" t="s">
        <v>20</v>
      </c>
    </row>
    <row r="48" spans="1:18">
      <c r="A48" t="s">
        <v>108</v>
      </c>
      <c r="B48" s="131">
        <f>'KDOPT-LG'!B48</f>
        <v>6.6666666666666666E-2</v>
      </c>
      <c r="C48" s="81">
        <f t="shared" si="14"/>
        <v>202500</v>
      </c>
      <c r="D48" t="s">
        <v>20</v>
      </c>
    </row>
    <row r="49" spans="1:4">
      <c r="A49" t="s">
        <v>109</v>
      </c>
      <c r="B49" s="131">
        <f>'KDOPT-LG'!B49</f>
        <v>2.2222222222222223E-2</v>
      </c>
      <c r="C49" s="81">
        <f t="shared" si="14"/>
        <v>67500</v>
      </c>
      <c r="D49" t="s">
        <v>20</v>
      </c>
    </row>
    <row r="50" spans="1:4">
      <c r="A50" t="s">
        <v>110</v>
      </c>
      <c r="C50" s="83">
        <f ca="1">SUM(C46:C49)</f>
        <v>472500</v>
      </c>
      <c r="D50" s="21"/>
    </row>
    <row r="52" spans="1:4">
      <c r="A52" t="s">
        <v>70</v>
      </c>
      <c r="C52" s="84">
        <f ca="1">C40-C50</f>
        <v>213125</v>
      </c>
    </row>
    <row r="53" spans="1:4">
      <c r="A53" t="s">
        <v>114</v>
      </c>
      <c r="C53" s="85">
        <f ca="1">C52/H34</f>
        <v>7.0164609053497945E-2</v>
      </c>
    </row>
    <row r="54" spans="1:4">
      <c r="C54" s="85"/>
    </row>
    <row r="55" spans="1:4">
      <c r="A55" t="s">
        <v>67</v>
      </c>
      <c r="B55" t="s">
        <v>68</v>
      </c>
      <c r="C55" s="86" t="s">
        <v>69</v>
      </c>
    </row>
    <row r="56" spans="1:4">
      <c r="A56" s="57">
        <f>2990*12</f>
        <v>35880</v>
      </c>
      <c r="B56" s="14">
        <v>0.25</v>
      </c>
      <c r="C56" s="87">
        <f ca="1">IF($C$52&gt;A56,A56*B56,0)</f>
        <v>8970</v>
      </c>
      <c r="D56" s="70"/>
    </row>
    <row r="57" spans="1:4">
      <c r="A57" s="57">
        <f>8250*12</f>
        <v>99000</v>
      </c>
      <c r="B57" s="14">
        <v>0.35</v>
      </c>
      <c r="C57" s="87">
        <f t="shared" ref="C57" ca="1" si="15">IF($C$52&gt;A57,A57*B57,0)</f>
        <v>34650</v>
      </c>
      <c r="D57" s="89"/>
    </row>
    <row r="58" spans="1:4">
      <c r="A58" s="57">
        <f ca="1">IF(C52-A56-A57&gt;0,C52-A56-A57,0)</f>
        <v>78245</v>
      </c>
      <c r="B58" s="14">
        <v>0.5</v>
      </c>
      <c r="C58" s="102">
        <f ca="1">IF($C$52&gt;A58,A58*B58,0)</f>
        <v>39122.5</v>
      </c>
      <c r="D58" s="90"/>
    </row>
    <row r="59" spans="1:4">
      <c r="C59" s="88">
        <f ca="1">SUM(C56:C58)</f>
        <v>82742.5</v>
      </c>
      <c r="D59" s="88"/>
    </row>
    <row r="60" spans="1:4">
      <c r="C60" s="88"/>
      <c r="D60" s="88"/>
    </row>
    <row r="61" spans="1:4">
      <c r="A61" t="s">
        <v>37</v>
      </c>
      <c r="C61" s="133">
        <f ca="1">C59/C36</f>
        <v>0.15280240073868884</v>
      </c>
      <c r="D61" s="88"/>
    </row>
    <row r="62" spans="1:4">
      <c r="C62" s="88"/>
      <c r="D62" s="88"/>
    </row>
    <row r="63" spans="1:4">
      <c r="A63" s="55" t="s">
        <v>71</v>
      </c>
      <c r="C63" s="91">
        <f ca="1">C52-C59</f>
        <v>130382.5</v>
      </c>
      <c r="D63" s="88"/>
    </row>
    <row r="64" spans="1:4">
      <c r="A64" t="s">
        <v>114</v>
      </c>
      <c r="C64" s="85">
        <f ca="1">C63/$H$34</f>
        <v>4.2924279835390947E-2</v>
      </c>
      <c r="D64" s="88"/>
    </row>
    <row r="65" spans="1:12">
      <c r="C65" s="88"/>
      <c r="D65" s="88"/>
    </row>
    <row r="66" spans="1:12">
      <c r="C66" s="109"/>
      <c r="D66" s="110" t="s">
        <v>72</v>
      </c>
      <c r="E66" s="110"/>
      <c r="F66" s="110"/>
      <c r="G66" s="110"/>
      <c r="H66" s="110"/>
      <c r="I66" s="111"/>
      <c r="J66" s="111"/>
      <c r="K66" s="111"/>
      <c r="L66" s="112"/>
    </row>
    <row r="67" spans="1:12" s="51" customFormat="1" ht="39">
      <c r="C67" s="113" t="s">
        <v>39</v>
      </c>
      <c r="D67" s="96" t="s">
        <v>38</v>
      </c>
      <c r="E67" s="96" t="s">
        <v>36</v>
      </c>
      <c r="F67" s="96" t="s">
        <v>73</v>
      </c>
      <c r="G67" s="97" t="s">
        <v>74</v>
      </c>
      <c r="H67" s="97" t="s">
        <v>85</v>
      </c>
      <c r="I67" s="97" t="s">
        <v>75</v>
      </c>
      <c r="J67" s="114" t="s">
        <v>76</v>
      </c>
      <c r="K67" s="115"/>
    </row>
    <row r="68" spans="1:12">
      <c r="A68" t="s">
        <v>137</v>
      </c>
      <c r="C68" s="116">
        <f>M30-O30</f>
        <v>237500</v>
      </c>
      <c r="D68" s="117">
        <f>O30</f>
        <v>22000</v>
      </c>
      <c r="E68" s="132">
        <f ca="1">$C$61</f>
        <v>0.15280240073868884</v>
      </c>
      <c r="F68" s="95">
        <f ca="1">D68*E68</f>
        <v>3361.6528162511545</v>
      </c>
      <c r="G68" s="118">
        <f ca="1">F68*E30</f>
        <v>16808.264081255773</v>
      </c>
      <c r="H68" s="98">
        <f>Q30/E30</f>
        <v>7875</v>
      </c>
      <c r="I68" s="99">
        <f>R30/E30</f>
        <v>1060</v>
      </c>
      <c r="J68" s="119">
        <f ca="1">(C68+F68)-(H68+I68)</f>
        <v>231926.65281625115</v>
      </c>
      <c r="K68" s="111"/>
    </row>
    <row r="69" spans="1:12">
      <c r="A69" t="s">
        <v>138</v>
      </c>
      <c r="C69" s="116">
        <f t="shared" ref="C69:C71" si="16">M31-O31</f>
        <v>72500</v>
      </c>
      <c r="D69" s="117">
        <f t="shared" ref="D69:D71" si="17">O31</f>
        <v>22000</v>
      </c>
      <c r="E69" s="132">
        <f t="shared" ref="E69:E71" ca="1" si="18">$C$61</f>
        <v>0.15280240073868884</v>
      </c>
      <c r="F69" s="95">
        <f t="shared" ref="F69:F71" ca="1" si="19">D69*E69</f>
        <v>3361.6528162511545</v>
      </c>
      <c r="G69" s="118">
        <f ca="1">F69*E31</f>
        <v>33616.528162511546</v>
      </c>
      <c r="H69" s="98">
        <f>Q31/E31</f>
        <v>2925</v>
      </c>
      <c r="I69" s="99">
        <f>R31/E31</f>
        <v>1060</v>
      </c>
      <c r="J69" s="119">
        <f t="shared" ref="J69:J71" ca="1" si="20">(C69+F69)-(H69+I69)</f>
        <v>71876.652816251153</v>
      </c>
      <c r="K69" s="111"/>
    </row>
    <row r="70" spans="1:12">
      <c r="A70" t="s">
        <v>139</v>
      </c>
      <c r="C70" s="116">
        <f t="shared" si="16"/>
        <v>19740</v>
      </c>
      <c r="D70" s="117">
        <f t="shared" si="17"/>
        <v>8460</v>
      </c>
      <c r="E70" s="132">
        <f t="shared" ca="1" si="18"/>
        <v>0.15280240073868884</v>
      </c>
      <c r="F70" s="95">
        <f t="shared" ca="1" si="19"/>
        <v>1292.7083102493075</v>
      </c>
      <c r="G70" s="118">
        <f ca="1">F70*E32</f>
        <v>19390.624653739611</v>
      </c>
      <c r="H70" s="98">
        <f>Q32/E32</f>
        <v>900</v>
      </c>
      <c r="I70" s="99">
        <f>R32/E32</f>
        <v>1060</v>
      </c>
      <c r="J70" s="119">
        <f t="shared" ca="1" si="20"/>
        <v>19072.708310249309</v>
      </c>
      <c r="K70" s="111"/>
    </row>
    <row r="71" spans="1:12">
      <c r="A71" t="s">
        <v>140</v>
      </c>
      <c r="C71" s="116">
        <f t="shared" si="16"/>
        <v>9870</v>
      </c>
      <c r="D71" s="117">
        <f t="shared" si="17"/>
        <v>4230</v>
      </c>
      <c r="E71" s="132">
        <f t="shared" ca="1" si="18"/>
        <v>0.15280240073868884</v>
      </c>
      <c r="F71" s="95">
        <f t="shared" ca="1" si="19"/>
        <v>646.35415512465374</v>
      </c>
      <c r="G71" s="118">
        <f ca="1">F71*E33</f>
        <v>12927.083102493074</v>
      </c>
      <c r="H71" s="98">
        <f>Q33/E33</f>
        <v>450</v>
      </c>
      <c r="I71" s="99">
        <f>R33/E33</f>
        <v>1060</v>
      </c>
      <c r="J71" s="119">
        <f t="shared" ca="1" si="20"/>
        <v>9006.3541551246544</v>
      </c>
      <c r="K71" s="111"/>
    </row>
    <row r="72" spans="1:12">
      <c r="C72" s="109"/>
      <c r="D72" s="111"/>
      <c r="E72" s="111"/>
      <c r="F72" s="111"/>
      <c r="G72" s="118">
        <f ca="1">SUM(G68:G71)</f>
        <v>82742.5</v>
      </c>
      <c r="H72" s="111"/>
      <c r="I72" s="111"/>
      <c r="J72" s="111"/>
      <c r="K72" s="112"/>
      <c r="L72" s="111"/>
    </row>
  </sheetData>
  <phoneticPr fontId="8" type="noConversion"/>
  <pageMargins left="0.75" right="0.75" top="1" bottom="1" header="0.5" footer="0.5"/>
  <pageSetup orientation="portrait" horizontalDpi="4294967292" verticalDpi="4294967292"/>
  <headerFooter>
    <oddFooter>&amp;L&amp;A&amp;C&amp;"Verdana,Bold"Copyright 2009, 7DS Associates_x000D_www.7dsassociates.com&amp;RPage &amp;P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G71"/>
  <sheetViews>
    <sheetView topLeftCell="A26" workbookViewId="0">
      <selection activeCell="C2" sqref="C2"/>
    </sheetView>
  </sheetViews>
  <sheetFormatPr baseColWidth="10" defaultRowHeight="13"/>
  <cols>
    <col min="1" max="1" width="23" customWidth="1"/>
    <col min="2" max="2" width="13.140625" bestFit="1" customWidth="1"/>
    <col min="3" max="3" width="14.5703125" customWidth="1"/>
    <col min="4" max="4" width="13.5703125" customWidth="1"/>
    <col min="8" max="8" width="12.42578125" bestFit="1" customWidth="1"/>
    <col min="10" max="10" width="12.140625" bestFit="1" customWidth="1"/>
  </cols>
  <sheetData>
    <row r="1" spans="1:5">
      <c r="A1" s="19" t="s">
        <v>118</v>
      </c>
    </row>
    <row r="3" spans="1:5">
      <c r="A3" t="s">
        <v>178</v>
      </c>
      <c r="C3" s="25">
        <v>3600</v>
      </c>
    </row>
    <row r="4" spans="1:5">
      <c r="A4" t="s">
        <v>175</v>
      </c>
      <c r="C4" s="1">
        <v>300000</v>
      </c>
    </row>
    <row r="5" spans="1:5">
      <c r="A5" t="s">
        <v>119</v>
      </c>
      <c r="C5" s="23">
        <f>C3*C4</f>
        <v>1080000000</v>
      </c>
    </row>
    <row r="6" spans="1:5">
      <c r="A6" t="s">
        <v>176</v>
      </c>
      <c r="C6" s="2">
        <v>2.5000000000000001E-2</v>
      </c>
    </row>
    <row r="7" spans="1:5">
      <c r="A7" t="s">
        <v>177</v>
      </c>
      <c r="C7" s="23">
        <f>C4*C6</f>
        <v>7500</v>
      </c>
    </row>
    <row r="9" spans="1:5">
      <c r="A9" s="55" t="s">
        <v>131</v>
      </c>
      <c r="C9" s="27"/>
      <c r="D9" t="s">
        <v>153</v>
      </c>
      <c r="E9" t="s">
        <v>141</v>
      </c>
    </row>
    <row r="10" spans="1:5">
      <c r="A10" s="28" t="s">
        <v>155</v>
      </c>
      <c r="B10" s="35">
        <f>C10/C3</f>
        <v>0.33333333333333331</v>
      </c>
      <c r="C10" s="30">
        <f>ROUND(C3/3,0)</f>
        <v>1200</v>
      </c>
      <c r="D10">
        <v>60</v>
      </c>
      <c r="E10" s="26">
        <f>ROUNDUP(C10/D10,0)</f>
        <v>20</v>
      </c>
    </row>
    <row r="11" spans="1:5">
      <c r="A11" s="28" t="s">
        <v>157</v>
      </c>
      <c r="C11" s="37">
        <f>C10*C7</f>
        <v>9000000</v>
      </c>
    </row>
    <row r="12" spans="1:5">
      <c r="A12" s="28" t="s">
        <v>154</v>
      </c>
      <c r="B12" s="35">
        <f>C12/C3</f>
        <v>0.66666666666666663</v>
      </c>
      <c r="C12" s="30">
        <f>C3-C10</f>
        <v>2400</v>
      </c>
    </row>
    <row r="13" spans="1:5" ht="14" thickBot="1">
      <c r="A13" s="28" t="s">
        <v>156</v>
      </c>
      <c r="C13" s="41">
        <f>C12*C7</f>
        <v>18000000</v>
      </c>
    </row>
    <row r="14" spans="1:5" ht="14" thickTop="1">
      <c r="A14" s="38" t="s">
        <v>173</v>
      </c>
      <c r="B14" s="39"/>
      <c r="C14" s="40">
        <f>C11+C13</f>
        <v>27000000</v>
      </c>
    </row>
    <row r="15" spans="1:5">
      <c r="A15" s="28"/>
      <c r="C15" s="26"/>
    </row>
    <row r="16" spans="1:5">
      <c r="A16" s="56" t="s">
        <v>132</v>
      </c>
    </row>
    <row r="17" spans="1:7">
      <c r="A17" s="28" t="s">
        <v>160</v>
      </c>
      <c r="C17" s="14">
        <v>0.1</v>
      </c>
    </row>
    <row r="18" spans="1:7">
      <c r="A18" s="28" t="s">
        <v>161</v>
      </c>
      <c r="C18" s="34">
        <f>C17*C7</f>
        <v>750</v>
      </c>
      <c r="D18" t="s">
        <v>143</v>
      </c>
    </row>
    <row r="19" spans="1:7">
      <c r="A19" s="28" t="s">
        <v>162</v>
      </c>
      <c r="C19" s="31">
        <f>C18*C10</f>
        <v>900000</v>
      </c>
    </row>
    <row r="21" spans="1:7">
      <c r="A21" s="28" t="s">
        <v>186</v>
      </c>
      <c r="B21" s="2">
        <f>C21/C14</f>
        <v>2.0777777777777777E-2</v>
      </c>
      <c r="C21" s="15">
        <f>20*150*F29</f>
        <v>561000</v>
      </c>
      <c r="D21" t="s">
        <v>102</v>
      </c>
    </row>
    <row r="22" spans="1:7">
      <c r="A22" s="28"/>
      <c r="B22" s="2"/>
      <c r="C22" s="22"/>
    </row>
    <row r="23" spans="1:7">
      <c r="A23" s="28" t="s">
        <v>187</v>
      </c>
      <c r="B23" s="2"/>
      <c r="C23" s="22"/>
    </row>
    <row r="24" spans="1:7">
      <c r="A24" s="36" t="s">
        <v>168</v>
      </c>
      <c r="B24" s="2">
        <v>0.1</v>
      </c>
      <c r="C24" s="22">
        <f>$C$14*B24</f>
        <v>2700000</v>
      </c>
      <c r="D24" t="s">
        <v>174</v>
      </c>
    </row>
    <row r="25" spans="1:7">
      <c r="A25" s="36" t="s">
        <v>169</v>
      </c>
      <c r="B25" s="2">
        <v>0.2</v>
      </c>
      <c r="C25" s="22">
        <f>$C$14*B25</f>
        <v>5400000</v>
      </c>
      <c r="D25" t="s">
        <v>149</v>
      </c>
    </row>
    <row r="26" spans="1:7">
      <c r="A26" s="28"/>
      <c r="B26" s="2"/>
      <c r="C26" s="22"/>
    </row>
    <row r="27" spans="1:7">
      <c r="A27" s="28" t="s">
        <v>108</v>
      </c>
    </row>
    <row r="28" spans="1:7">
      <c r="A28" s="36" t="s">
        <v>170</v>
      </c>
      <c r="B28" s="2">
        <v>0.17499999999999999</v>
      </c>
      <c r="C28" s="22">
        <f>$C$14*B28</f>
        <v>4725000</v>
      </c>
      <c r="D28" t="s">
        <v>150</v>
      </c>
      <c r="F28" s="60">
        <f>ROUND(C28/50000,0)</f>
        <v>95</v>
      </c>
      <c r="G28" t="s">
        <v>171</v>
      </c>
    </row>
    <row r="29" spans="1:7">
      <c r="A29" s="36"/>
      <c r="B29" s="2"/>
      <c r="C29" s="22"/>
      <c r="F29" s="61">
        <f>F28+C32+E10</f>
        <v>187</v>
      </c>
      <c r="G29" t="s">
        <v>151</v>
      </c>
    </row>
    <row r="30" spans="1:7">
      <c r="A30" s="36" t="s">
        <v>164</v>
      </c>
      <c r="C30" s="33">
        <f>'SIM-LG'!B3</f>
        <v>3600</v>
      </c>
    </row>
    <row r="31" spans="1:7">
      <c r="A31" s="36" t="s">
        <v>163</v>
      </c>
      <c r="C31" s="33">
        <v>50</v>
      </c>
    </row>
    <row r="32" spans="1:7">
      <c r="A32" s="36" t="s">
        <v>165</v>
      </c>
      <c r="C32" s="33">
        <f>ROUND(C30/C31,0)</f>
        <v>72</v>
      </c>
    </row>
    <row r="33" spans="1:6">
      <c r="A33" s="36" t="s">
        <v>166</v>
      </c>
      <c r="C33" s="16">
        <v>40000</v>
      </c>
    </row>
    <row r="34" spans="1:6">
      <c r="A34" s="36" t="s">
        <v>167</v>
      </c>
      <c r="C34" s="22">
        <f>C33*C32</f>
        <v>2880000</v>
      </c>
    </row>
    <row r="35" spans="1:6">
      <c r="A35" s="28"/>
      <c r="B35" s="2"/>
      <c r="C35" s="22"/>
      <c r="F35" s="24"/>
    </row>
    <row r="36" spans="1:6">
      <c r="A36" s="28" t="s">
        <v>172</v>
      </c>
      <c r="B36" s="2"/>
      <c r="C36" s="22">
        <f>(C34+C28)*0.3</f>
        <v>2281500</v>
      </c>
      <c r="F36" s="24"/>
    </row>
    <row r="37" spans="1:6">
      <c r="A37" s="28"/>
      <c r="B37" s="2"/>
      <c r="C37" s="22"/>
    </row>
    <row r="38" spans="1:6">
      <c r="A38" s="28" t="s">
        <v>109</v>
      </c>
      <c r="B38" s="2">
        <v>2.5000000000000001E-2</v>
      </c>
      <c r="C38" s="22">
        <f>$C$14*B38</f>
        <v>675000</v>
      </c>
      <c r="D38" t="s">
        <v>103</v>
      </c>
    </row>
    <row r="39" spans="1:6" ht="14" thickBot="1">
      <c r="A39" s="28"/>
      <c r="B39" s="2"/>
      <c r="C39" s="42"/>
      <c r="D39" s="43"/>
      <c r="E39" s="43"/>
    </row>
    <row r="40" spans="1:6" ht="14" thickTop="1">
      <c r="A40" s="55" t="s">
        <v>133</v>
      </c>
      <c r="C40" s="18">
        <f>C38+C36+C34+C28+C25+C24+C21+C19</f>
        <v>20122500</v>
      </c>
    </row>
    <row r="42" spans="1:6">
      <c r="A42" s="55" t="s">
        <v>134</v>
      </c>
      <c r="C42" s="29">
        <f>C14-C40</f>
        <v>6877500</v>
      </c>
    </row>
    <row r="43" spans="1:6">
      <c r="A43" s="55" t="s">
        <v>135</v>
      </c>
      <c r="C43" s="20">
        <f>C42/C14</f>
        <v>0.25472222222222224</v>
      </c>
    </row>
    <row r="47" spans="1:6">
      <c r="A47" s="39" t="s">
        <v>145</v>
      </c>
    </row>
    <row r="48" spans="1:6">
      <c r="A48" s="39"/>
    </row>
    <row r="49" spans="1:3">
      <c r="A49" t="s">
        <v>142</v>
      </c>
      <c r="C49" s="44">
        <f>C42/E10</f>
        <v>343875</v>
      </c>
    </row>
    <row r="51" spans="1:3">
      <c r="A51" t="s">
        <v>152</v>
      </c>
      <c r="C51" s="45">
        <f>C18</f>
        <v>750</v>
      </c>
    </row>
    <row r="52" spans="1:3">
      <c r="A52" t="s">
        <v>144</v>
      </c>
      <c r="B52" s="14">
        <v>0.1</v>
      </c>
      <c r="C52" s="46">
        <f>ROUND(C10*B52,0)</f>
        <v>120</v>
      </c>
    </row>
    <row r="53" spans="1:3">
      <c r="A53" t="s">
        <v>146</v>
      </c>
      <c r="B53" s="14">
        <f>1-B52</f>
        <v>0.9</v>
      </c>
      <c r="C53" s="46">
        <f>ROUND(B53*C10,0)</f>
        <v>1080</v>
      </c>
    </row>
    <row r="54" spans="1:3">
      <c r="A54" t="s">
        <v>147</v>
      </c>
      <c r="C54" s="34">
        <f>C53*C51</f>
        <v>810000</v>
      </c>
    </row>
    <row r="55" spans="1:3">
      <c r="A55" t="s">
        <v>148</v>
      </c>
      <c r="C55" s="44">
        <f>C54/E10</f>
        <v>40500</v>
      </c>
    </row>
    <row r="57" spans="1:3">
      <c r="A57" t="s">
        <v>158</v>
      </c>
      <c r="C57" s="47">
        <f>C49+C55</f>
        <v>384375</v>
      </c>
    </row>
    <row r="59" spans="1:3">
      <c r="A59" t="s">
        <v>136</v>
      </c>
      <c r="C59" s="48">
        <f>'SIM-LG'!H50</f>
        <v>237815</v>
      </c>
    </row>
    <row r="62" spans="1:3">
      <c r="A62" s="55" t="s">
        <v>105</v>
      </c>
    </row>
    <row r="63" spans="1:3">
      <c r="A63" s="28" t="s">
        <v>107</v>
      </c>
      <c r="B63">
        <v>1.25</v>
      </c>
      <c r="C63" s="54" t="s">
        <v>78</v>
      </c>
    </row>
    <row r="64" spans="1:3">
      <c r="A64" s="28" t="s">
        <v>106</v>
      </c>
      <c r="B64" s="45">
        <f>$C$14*B63</f>
        <v>33750000</v>
      </c>
    </row>
    <row r="65" spans="1:3">
      <c r="A65" s="28" t="s">
        <v>79</v>
      </c>
      <c r="B65" s="45">
        <f>B64*2.5%</f>
        <v>843750</v>
      </c>
      <c r="C65" s="28" t="s">
        <v>80</v>
      </c>
    </row>
    <row r="66" spans="1:3">
      <c r="A66" s="28"/>
      <c r="B66" s="45"/>
    </row>
    <row r="67" spans="1:3">
      <c r="A67" s="28" t="s">
        <v>104</v>
      </c>
      <c r="B67" s="62">
        <f>(B64+B65)/$E$10</f>
        <v>1729687.5</v>
      </c>
    </row>
    <row r="70" spans="1:3">
      <c r="A70" s="28"/>
      <c r="B70" s="45"/>
    </row>
    <row r="71" spans="1:3">
      <c r="A71" s="28"/>
      <c r="B71" s="62"/>
    </row>
  </sheetData>
  <phoneticPr fontId="8" type="noConversion"/>
  <pageMargins left="0.75" right="0.75" top="1" bottom="1" header="0.5" footer="0.5"/>
  <pageSetup orientation="portrait" horizontalDpi="4294967292" verticalDpi="4294967292"/>
  <headerFooter>
    <oddFooter>&amp;L&amp;A&amp;C&amp;"Verdana,Bold"Copyright 2009, 7DS Associates_x000D_www.7dsassociates.com&amp;RPage &amp;P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W54"/>
  <sheetViews>
    <sheetView workbookViewId="0">
      <selection activeCell="B26" sqref="B26"/>
    </sheetView>
  </sheetViews>
  <sheetFormatPr baseColWidth="10" defaultRowHeight="13"/>
  <cols>
    <col min="1" max="1" width="19.85546875" customWidth="1"/>
    <col min="2" max="2" width="13.42578125" bestFit="1" customWidth="1"/>
    <col min="3" max="3" width="12.42578125" customWidth="1"/>
    <col min="4" max="4" width="8.42578125" bestFit="1" customWidth="1"/>
    <col min="5" max="5" width="9.5703125" bestFit="1" customWidth="1"/>
    <col min="6" max="6" width="9.5703125" customWidth="1"/>
    <col min="7" max="7" width="8.85546875" bestFit="1" customWidth="1"/>
    <col min="8" max="8" width="13" customWidth="1"/>
    <col min="9" max="9" width="8.7109375" bestFit="1" customWidth="1"/>
    <col min="10" max="11" width="10.5703125" customWidth="1"/>
    <col min="12" max="12" width="13" customWidth="1"/>
    <col min="13" max="13" width="8.7109375" customWidth="1"/>
    <col min="14" max="14" width="11.140625" customWidth="1"/>
    <col min="15" max="15" width="8.42578125" bestFit="1" customWidth="1"/>
    <col min="16" max="17" width="10.28515625" bestFit="1" customWidth="1"/>
    <col min="18" max="18" width="7.42578125" customWidth="1"/>
    <col min="19" max="19" width="9.85546875" customWidth="1"/>
    <col min="20" max="20" width="8.28515625" customWidth="1"/>
    <col min="21" max="21" width="12.5703125" customWidth="1"/>
    <col min="22" max="22" width="13.42578125" customWidth="1"/>
    <col min="23" max="23" width="10.140625" customWidth="1"/>
  </cols>
  <sheetData>
    <row r="1" spans="1:5">
      <c r="A1" s="19" t="s">
        <v>120</v>
      </c>
    </row>
    <row r="3" spans="1:5">
      <c r="A3" t="s">
        <v>178</v>
      </c>
      <c r="B3" s="49">
        <f>SUM(F22:F25)</f>
        <v>3600</v>
      </c>
    </row>
    <row r="4" spans="1:5">
      <c r="A4" t="s">
        <v>175</v>
      </c>
      <c r="B4" s="1">
        <v>300000</v>
      </c>
    </row>
    <row r="5" spans="1:5">
      <c r="A5" t="s">
        <v>119</v>
      </c>
      <c r="B5" s="23">
        <f>B3*B4</f>
        <v>1080000000</v>
      </c>
    </row>
    <row r="6" spans="1:5">
      <c r="A6" t="s">
        <v>176</v>
      </c>
      <c r="B6" s="2">
        <v>2.5000000000000001E-2</v>
      </c>
    </row>
    <row r="7" spans="1:5">
      <c r="A7" t="s">
        <v>177</v>
      </c>
      <c r="B7" s="53">
        <f>B4*B6</f>
        <v>7500</v>
      </c>
    </row>
    <row r="8" spans="1:5">
      <c r="B8" s="53"/>
    </row>
    <row r="9" spans="1:5">
      <c r="A9" s="104" t="s">
        <v>90</v>
      </c>
      <c r="B9" s="103">
        <v>225</v>
      </c>
      <c r="C9" s="73" t="s">
        <v>28</v>
      </c>
    </row>
    <row r="10" spans="1:5">
      <c r="A10" s="104"/>
      <c r="B10" s="103"/>
      <c r="C10" s="73"/>
    </row>
    <row r="11" spans="1:5">
      <c r="A11" s="65" t="s">
        <v>89</v>
      </c>
      <c r="B11" s="63"/>
      <c r="C11" s="73" t="s">
        <v>97</v>
      </c>
      <c r="E11" t="s">
        <v>41</v>
      </c>
    </row>
    <row r="12" spans="1:5">
      <c r="A12" s="32" t="s">
        <v>86</v>
      </c>
      <c r="B12" s="64">
        <v>40</v>
      </c>
      <c r="C12" s="74">
        <f>B12*12</f>
        <v>480</v>
      </c>
    </row>
    <row r="13" spans="1:5">
      <c r="A13" s="32" t="s">
        <v>87</v>
      </c>
      <c r="B13" s="63">
        <v>25</v>
      </c>
      <c r="C13" s="75">
        <f>B13*12</f>
        <v>300</v>
      </c>
    </row>
    <row r="14" spans="1:5">
      <c r="A14" s="32" t="s">
        <v>88</v>
      </c>
      <c r="B14" s="63">
        <v>15</v>
      </c>
      <c r="C14" s="75">
        <f>B14*12</f>
        <v>180</v>
      </c>
    </row>
    <row r="15" spans="1:5">
      <c r="A15" t="s">
        <v>96</v>
      </c>
      <c r="B15" s="63">
        <v>100</v>
      </c>
      <c r="C15" s="75">
        <f>B15*1</f>
        <v>100</v>
      </c>
    </row>
    <row r="16" spans="1:5">
      <c r="B16" s="63"/>
      <c r="C16" s="75">
        <f>SUM(C12:C15)</f>
        <v>1060</v>
      </c>
    </row>
    <row r="17" spans="1:23">
      <c r="B17" s="63"/>
      <c r="C17" s="75"/>
    </row>
    <row r="18" spans="1:23">
      <c r="A18" t="s">
        <v>40</v>
      </c>
      <c r="B18" s="121">
        <v>0.06</v>
      </c>
      <c r="C18" s="75"/>
      <c r="E18" t="s">
        <v>42</v>
      </c>
    </row>
    <row r="19" spans="1:23">
      <c r="B19" s="63"/>
      <c r="C19" s="75"/>
    </row>
    <row r="20" spans="1:23">
      <c r="A20" t="s">
        <v>179</v>
      </c>
      <c r="B20" t="s">
        <v>184</v>
      </c>
      <c r="C20">
        <v>500</v>
      </c>
    </row>
    <row r="21" spans="1:23" s="51" customFormat="1" ht="26">
      <c r="B21" s="52" t="s">
        <v>121</v>
      </c>
      <c r="C21" s="52" t="s">
        <v>122</v>
      </c>
      <c r="D21" s="52" t="s">
        <v>123</v>
      </c>
      <c r="E21" s="52" t="s">
        <v>124</v>
      </c>
      <c r="F21" s="52" t="s">
        <v>125</v>
      </c>
      <c r="G21" s="52" t="s">
        <v>126</v>
      </c>
      <c r="H21" s="52" t="s">
        <v>33</v>
      </c>
      <c r="I21" s="52" t="s">
        <v>43</v>
      </c>
      <c r="J21" s="52" t="s">
        <v>44</v>
      </c>
      <c r="K21" s="52" t="s">
        <v>56</v>
      </c>
      <c r="L21" s="52" t="s">
        <v>45</v>
      </c>
      <c r="M21" s="52" t="s">
        <v>46</v>
      </c>
      <c r="N21" s="52" t="s">
        <v>128</v>
      </c>
      <c r="O21" s="52" t="s">
        <v>129</v>
      </c>
      <c r="P21" s="52" t="s">
        <v>47</v>
      </c>
      <c r="Q21" s="52" t="s">
        <v>48</v>
      </c>
      <c r="R21" s="52" t="s">
        <v>99</v>
      </c>
      <c r="S21" s="52" t="s">
        <v>115</v>
      </c>
      <c r="T21" s="52" t="s">
        <v>116</v>
      </c>
      <c r="U21" s="52" t="s">
        <v>117</v>
      </c>
      <c r="V21" s="51" t="s">
        <v>100</v>
      </c>
      <c r="W21" s="51" t="s">
        <v>101</v>
      </c>
    </row>
    <row r="22" spans="1:23">
      <c r="A22" t="s">
        <v>180</v>
      </c>
      <c r="B22" s="3">
        <v>0.9</v>
      </c>
      <c r="C22">
        <f>ROUND(35*1,0)</f>
        <v>35</v>
      </c>
      <c r="D22" s="3">
        <v>0.1</v>
      </c>
      <c r="E22">
        <f>$C$20*D22</f>
        <v>50</v>
      </c>
      <c r="F22">
        <f>C22*E22</f>
        <v>1750</v>
      </c>
      <c r="G22" s="4">
        <f>F22/$B$3</f>
        <v>0.4861111111111111</v>
      </c>
      <c r="H22" s="5">
        <f>F22*$B$7</f>
        <v>13125000</v>
      </c>
      <c r="I22" s="5">
        <f>H22/E22</f>
        <v>262500</v>
      </c>
      <c r="J22" s="23">
        <f>H22*$B$18</f>
        <v>787500</v>
      </c>
      <c r="K22" s="23">
        <f>J22/E22</f>
        <v>15750</v>
      </c>
      <c r="L22" s="23">
        <f>H22-J22</f>
        <v>12337500</v>
      </c>
      <c r="M22" s="23">
        <f>L22/E22</f>
        <v>246750</v>
      </c>
      <c r="N22" s="6">
        <f>L22*(1-B22)</f>
        <v>1233749.9999999998</v>
      </c>
      <c r="O22" s="7">
        <f>N22/E22</f>
        <v>24674.999999999996</v>
      </c>
      <c r="P22" s="45">
        <f>$B$9*F22</f>
        <v>393750</v>
      </c>
      <c r="Q22" s="45">
        <f>$C$16*E22</f>
        <v>53000</v>
      </c>
      <c r="R22" s="14">
        <v>0</v>
      </c>
      <c r="S22">
        <f>ROUND(F22*R22,0)</f>
        <v>0</v>
      </c>
      <c r="T22" s="14">
        <v>0.25</v>
      </c>
      <c r="U22" s="22">
        <f>ROUNDUP(T22*S22*$B$7,0)</f>
        <v>0</v>
      </c>
      <c r="V22">
        <f>ROUNDUP(((R22*F22)/E22),0)</f>
        <v>0</v>
      </c>
      <c r="W22" s="53">
        <f>$B$7*T22*V22</f>
        <v>0</v>
      </c>
    </row>
    <row r="23" spans="1:23">
      <c r="A23" t="s">
        <v>181</v>
      </c>
      <c r="B23" s="3">
        <v>0.8</v>
      </c>
      <c r="C23">
        <f>ROUND(12*1,0)</f>
        <v>12</v>
      </c>
      <c r="D23" s="3">
        <v>0.2</v>
      </c>
      <c r="E23">
        <f t="shared" ref="E23:E25" si="0">$C$20*D23</f>
        <v>100</v>
      </c>
      <c r="F23">
        <f t="shared" ref="F23:F25" si="1">C23*E23</f>
        <v>1200</v>
      </c>
      <c r="G23" s="4">
        <f t="shared" ref="G23:G26" si="2">F23/$B$3</f>
        <v>0.33333333333333331</v>
      </c>
      <c r="H23" s="5">
        <f t="shared" ref="H23:H25" si="3">F23*$B$7</f>
        <v>9000000</v>
      </c>
      <c r="I23" s="5">
        <f t="shared" ref="I23:I26" si="4">H23/E23</f>
        <v>90000</v>
      </c>
      <c r="J23" s="23">
        <f t="shared" ref="J23:J25" si="5">H23*$B$18</f>
        <v>540000</v>
      </c>
      <c r="K23" s="23">
        <f t="shared" ref="K23:K25" si="6">J23/E23</f>
        <v>5400</v>
      </c>
      <c r="L23" s="23">
        <f t="shared" ref="L23:L25" si="7">H23-J23</f>
        <v>8460000</v>
      </c>
      <c r="M23" s="23">
        <f t="shared" ref="M23:M25" si="8">L23/E23</f>
        <v>84600</v>
      </c>
      <c r="N23" s="44">
        <f t="shared" ref="N23:N25" si="9">L23*(1-B23)</f>
        <v>1691999.9999999995</v>
      </c>
      <c r="O23" s="7">
        <f t="shared" ref="O23:O25" si="10">N23/E23</f>
        <v>16919.999999999996</v>
      </c>
      <c r="P23" s="45">
        <f t="shared" ref="P23:P25" si="11">$B$9*F23</f>
        <v>270000</v>
      </c>
      <c r="Q23" s="45">
        <f t="shared" ref="Q23:Q25" si="12">$C$16*E23</f>
        <v>106000</v>
      </c>
      <c r="R23" s="14">
        <v>0.1</v>
      </c>
      <c r="S23">
        <f t="shared" ref="S23:S25" si="13">ROUND(F23*R23,0)</f>
        <v>120</v>
      </c>
      <c r="T23" s="14">
        <v>0.25</v>
      </c>
      <c r="U23" s="23">
        <f t="shared" ref="U23:U25" si="14">ROUNDUP(T23*S23*$B$7,0)</f>
        <v>225000</v>
      </c>
      <c r="V23">
        <f t="shared" ref="V23:V25" si="15">ROUNDUP(((R23*F23)/E23),0)</f>
        <v>2</v>
      </c>
      <c r="W23" s="53">
        <f t="shared" ref="W23:W25" si="16">$B$7*T23*V23</f>
        <v>3750</v>
      </c>
    </row>
    <row r="24" spans="1:23">
      <c r="A24" t="s">
        <v>182</v>
      </c>
      <c r="B24" s="3">
        <v>0.7</v>
      </c>
      <c r="C24">
        <f>ROUND(3*1,0)</f>
        <v>3</v>
      </c>
      <c r="D24" s="3">
        <v>0.3</v>
      </c>
      <c r="E24">
        <f t="shared" si="0"/>
        <v>150</v>
      </c>
      <c r="F24">
        <f t="shared" si="1"/>
        <v>450</v>
      </c>
      <c r="G24" s="4">
        <f t="shared" si="2"/>
        <v>0.125</v>
      </c>
      <c r="H24" s="5">
        <f t="shared" si="3"/>
        <v>3375000</v>
      </c>
      <c r="I24" s="5">
        <f t="shared" si="4"/>
        <v>22500</v>
      </c>
      <c r="J24" s="23">
        <f t="shared" si="5"/>
        <v>202500</v>
      </c>
      <c r="K24" s="23">
        <f t="shared" si="6"/>
        <v>1350</v>
      </c>
      <c r="L24" s="23">
        <f t="shared" si="7"/>
        <v>3172500</v>
      </c>
      <c r="M24" s="23">
        <f t="shared" si="8"/>
        <v>21150</v>
      </c>
      <c r="N24" s="44">
        <f t="shared" si="9"/>
        <v>951750.00000000012</v>
      </c>
      <c r="O24" s="7">
        <f t="shared" si="10"/>
        <v>6345.0000000000009</v>
      </c>
      <c r="P24" s="45">
        <f t="shared" si="11"/>
        <v>101250</v>
      </c>
      <c r="Q24" s="45">
        <f t="shared" si="12"/>
        <v>159000</v>
      </c>
      <c r="R24" s="14">
        <v>0.2</v>
      </c>
      <c r="S24">
        <f t="shared" si="13"/>
        <v>90</v>
      </c>
      <c r="T24" s="14">
        <v>0.25</v>
      </c>
      <c r="U24" s="23">
        <f t="shared" si="14"/>
        <v>168750</v>
      </c>
      <c r="V24">
        <f t="shared" si="15"/>
        <v>1</v>
      </c>
      <c r="W24" s="53">
        <f t="shared" si="16"/>
        <v>1875</v>
      </c>
    </row>
    <row r="25" spans="1:23">
      <c r="A25" t="s">
        <v>183</v>
      </c>
      <c r="B25" s="3">
        <v>0.7</v>
      </c>
      <c r="C25" s="8">
        <f>ROUND(1*1,0)</f>
        <v>1</v>
      </c>
      <c r="D25" s="9">
        <v>0.4</v>
      </c>
      <c r="E25" s="8">
        <f t="shared" si="0"/>
        <v>200</v>
      </c>
      <c r="F25" s="8">
        <f t="shared" si="1"/>
        <v>200</v>
      </c>
      <c r="G25" s="10">
        <f t="shared" si="2"/>
        <v>5.5555555555555552E-2</v>
      </c>
      <c r="H25" s="11">
        <f t="shared" si="3"/>
        <v>1500000</v>
      </c>
      <c r="I25" s="11">
        <f t="shared" si="4"/>
        <v>7500</v>
      </c>
      <c r="J25" s="16">
        <f t="shared" si="5"/>
        <v>90000</v>
      </c>
      <c r="K25" s="16">
        <f t="shared" si="6"/>
        <v>450</v>
      </c>
      <c r="L25" s="16">
        <f t="shared" si="7"/>
        <v>1410000</v>
      </c>
      <c r="M25" s="16">
        <f t="shared" si="8"/>
        <v>7050</v>
      </c>
      <c r="N25" s="34">
        <f t="shared" si="9"/>
        <v>423000.00000000006</v>
      </c>
      <c r="O25" s="12">
        <f t="shared" si="10"/>
        <v>2115.0000000000005</v>
      </c>
      <c r="P25" s="12">
        <f t="shared" si="11"/>
        <v>45000</v>
      </c>
      <c r="Q25" s="12">
        <f t="shared" si="12"/>
        <v>212000</v>
      </c>
      <c r="R25" s="50">
        <v>0.3</v>
      </c>
      <c r="S25" s="8">
        <f t="shared" si="13"/>
        <v>60</v>
      </c>
      <c r="T25" s="50">
        <v>0.25</v>
      </c>
      <c r="U25" s="16">
        <f t="shared" si="14"/>
        <v>112500</v>
      </c>
      <c r="V25" s="8">
        <f t="shared" si="15"/>
        <v>1</v>
      </c>
      <c r="W25" s="59">
        <f t="shared" si="16"/>
        <v>1875</v>
      </c>
    </row>
    <row r="26" spans="1:23">
      <c r="A26" t="s">
        <v>185</v>
      </c>
      <c r="D26" s="3">
        <f>SUM(D22:D25)</f>
        <v>1</v>
      </c>
      <c r="E26">
        <f>SUM(E22:E25)</f>
        <v>500</v>
      </c>
      <c r="F26">
        <f>SUM(F22:F25)</f>
        <v>3600</v>
      </c>
      <c r="G26" s="4">
        <f t="shared" si="2"/>
        <v>1</v>
      </c>
      <c r="H26" s="92">
        <f>SUM(H22:H25)</f>
        <v>27000000</v>
      </c>
      <c r="I26" s="5">
        <f t="shared" si="4"/>
        <v>54000</v>
      </c>
      <c r="J26" s="23">
        <f>SUM(J22:J25)</f>
        <v>1620000</v>
      </c>
      <c r="K26" s="23"/>
      <c r="L26" s="92">
        <f>SUM(L22:L25)</f>
        <v>25380000</v>
      </c>
      <c r="M26" s="23"/>
      <c r="N26" s="17">
        <f>SUM(N22:N25)</f>
        <v>4300499.9999999991</v>
      </c>
      <c r="O26" s="5"/>
      <c r="P26" s="105">
        <f>SUM(P22:P25)</f>
        <v>810000</v>
      </c>
      <c r="Q26" s="105">
        <f>SUM(Q22:Q25)</f>
        <v>530000</v>
      </c>
      <c r="S26">
        <f>SUM(S22:S25)</f>
        <v>270</v>
      </c>
      <c r="U26" s="58">
        <f>SUM(U22:U25)</f>
        <v>506250</v>
      </c>
    </row>
    <row r="28" spans="1:23">
      <c r="A28" t="s">
        <v>49</v>
      </c>
      <c r="C28" s="122">
        <f>N26</f>
        <v>4300499.9999999991</v>
      </c>
    </row>
    <row r="29" spans="1:23">
      <c r="C29" s="120">
        <f>C28/H26</f>
        <v>0.15927777777777774</v>
      </c>
    </row>
    <row r="30" spans="1:23">
      <c r="A30" t="s">
        <v>50</v>
      </c>
      <c r="C30" s="45">
        <f>P26+Q26</f>
        <v>1340000</v>
      </c>
    </row>
    <row r="31" spans="1:23">
      <c r="C31" s="120">
        <f>C30/H26</f>
        <v>4.9629629629629628E-2</v>
      </c>
    </row>
    <row r="32" spans="1:23">
      <c r="A32" t="s">
        <v>51</v>
      </c>
      <c r="C32" s="122">
        <f>U26</f>
        <v>506250</v>
      </c>
    </row>
    <row r="33" spans="1:4">
      <c r="C33" s="120">
        <f>C32/H26</f>
        <v>1.8749999999999999E-2</v>
      </c>
    </row>
    <row r="34" spans="1:4">
      <c r="A34" s="55" t="s">
        <v>54</v>
      </c>
      <c r="B34" s="55"/>
      <c r="C34" s="127">
        <f>C28+C30+C32</f>
        <v>6146749.9999999991</v>
      </c>
    </row>
    <row r="35" spans="1:4">
      <c r="C35" s="120">
        <f>C34/H26</f>
        <v>0.22765740740740736</v>
      </c>
    </row>
    <row r="37" spans="1:4">
      <c r="A37" s="55" t="s">
        <v>55</v>
      </c>
      <c r="B37" t="s">
        <v>113</v>
      </c>
    </row>
    <row r="39" spans="1:4">
      <c r="A39" s="54" t="s">
        <v>130</v>
      </c>
    </row>
    <row r="41" spans="1:4">
      <c r="A41" t="s">
        <v>186</v>
      </c>
      <c r="B41" s="2">
        <v>0.05</v>
      </c>
      <c r="C41" s="15">
        <f>$H$26*B41</f>
        <v>1350000</v>
      </c>
      <c r="D41" s="21"/>
    </row>
    <row r="42" spans="1:4">
      <c r="A42" t="s">
        <v>187</v>
      </c>
      <c r="B42" s="2">
        <v>0.05</v>
      </c>
      <c r="C42" s="15">
        <f t="shared" ref="C42:C44" si="17">$H$26*B42</f>
        <v>1350000</v>
      </c>
      <c r="D42" s="21"/>
    </row>
    <row r="43" spans="1:4">
      <c r="A43" t="s">
        <v>108</v>
      </c>
      <c r="B43" s="2">
        <v>0.1</v>
      </c>
      <c r="C43" s="15">
        <f t="shared" si="17"/>
        <v>2700000</v>
      </c>
      <c r="D43" s="21"/>
    </row>
    <row r="44" spans="1:4">
      <c r="A44" t="s">
        <v>109</v>
      </c>
      <c r="B44" s="2">
        <v>0.05</v>
      </c>
      <c r="C44" s="16">
        <f t="shared" si="17"/>
        <v>1350000</v>
      </c>
      <c r="D44" s="21"/>
    </row>
    <row r="45" spans="1:4">
      <c r="A45" t="s">
        <v>110</v>
      </c>
      <c r="C45" s="18">
        <f>SUM(C41:C44)</f>
        <v>6750000</v>
      </c>
      <c r="D45" s="21"/>
    </row>
    <row r="47" spans="1:4">
      <c r="A47" t="s">
        <v>111</v>
      </c>
      <c r="C47" s="123">
        <f>C34-C45</f>
        <v>-603250.00000000093</v>
      </c>
    </row>
    <row r="48" spans="1:4">
      <c r="A48" t="s">
        <v>52</v>
      </c>
      <c r="C48" s="20">
        <f>C47/H26</f>
        <v>-2.2342592592592626E-2</v>
      </c>
    </row>
    <row r="49" spans="1:8">
      <c r="C49" s="20"/>
      <c r="F49" s="20"/>
      <c r="H49" s="55" t="s">
        <v>53</v>
      </c>
    </row>
    <row r="50" spans="1:8">
      <c r="A50" t="s">
        <v>137</v>
      </c>
      <c r="C50" s="126">
        <f>M22</f>
        <v>246750</v>
      </c>
      <c r="D50" s="45">
        <f>P22/E22</f>
        <v>7875</v>
      </c>
      <c r="E50" s="45">
        <f>Q22/E22</f>
        <v>1060</v>
      </c>
      <c r="F50" s="93">
        <f>W22</f>
        <v>0</v>
      </c>
      <c r="H50" s="125">
        <f>C50-D50-E50-F50</f>
        <v>237815</v>
      </c>
    </row>
    <row r="51" spans="1:8">
      <c r="A51" t="s">
        <v>138</v>
      </c>
      <c r="C51" s="126">
        <f t="shared" ref="C51:C52" si="18">M23</f>
        <v>84600</v>
      </c>
      <c r="D51" s="45">
        <f t="shared" ref="D51:D53" si="19">P23/E23</f>
        <v>2700</v>
      </c>
      <c r="E51" s="45">
        <f t="shared" ref="E51:E53" si="20">Q23/E23</f>
        <v>1060</v>
      </c>
      <c r="F51" s="124">
        <f t="shared" ref="F51:F53" si="21">W23</f>
        <v>3750</v>
      </c>
      <c r="H51" s="125">
        <f t="shared" ref="H51:H53" si="22">C51-D51-E51-F51</f>
        <v>77090</v>
      </c>
    </row>
    <row r="52" spans="1:8">
      <c r="A52" t="s">
        <v>139</v>
      </c>
      <c r="C52" s="126">
        <f t="shared" si="18"/>
        <v>21150</v>
      </c>
      <c r="D52" s="45">
        <f t="shared" si="19"/>
        <v>675</v>
      </c>
      <c r="E52" s="45">
        <f t="shared" si="20"/>
        <v>1060</v>
      </c>
      <c r="F52" s="124">
        <f t="shared" si="21"/>
        <v>1875</v>
      </c>
      <c r="H52" s="125">
        <f t="shared" si="22"/>
        <v>17540</v>
      </c>
    </row>
    <row r="53" spans="1:8">
      <c r="A53" t="s">
        <v>140</v>
      </c>
      <c r="C53" s="126">
        <f>M25</f>
        <v>7050</v>
      </c>
      <c r="D53" s="45">
        <f t="shared" si="19"/>
        <v>225</v>
      </c>
      <c r="E53" s="45">
        <f t="shared" si="20"/>
        <v>1060</v>
      </c>
      <c r="F53" s="124">
        <f t="shared" si="21"/>
        <v>1875</v>
      </c>
      <c r="H53" s="125">
        <f t="shared" si="22"/>
        <v>3890</v>
      </c>
    </row>
    <row r="54" spans="1:8">
      <c r="C54" s="20"/>
      <c r="F54" s="20"/>
    </row>
  </sheetData>
  <phoneticPr fontId="8" type="noConversion"/>
  <pageMargins left="0.75" right="0.75" top="1" bottom="1" header="0.5" footer="0.5"/>
  <pageSetup orientation="portrait" horizontalDpi="4294967292" verticalDpi="4294967292"/>
  <headerFooter>
    <oddFooter>&amp;L&amp;A&amp;C&amp;"Verdana,Bold"Copyright 2009, 7DS Associates_x000D_www.7dsassociates.com&amp;RPage &amp;P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R72"/>
  <sheetViews>
    <sheetView topLeftCell="A5" workbookViewId="0">
      <selection activeCell="C2" sqref="C2"/>
    </sheetView>
  </sheetViews>
  <sheetFormatPr baseColWidth="10" defaultRowHeight="13"/>
  <cols>
    <col min="1" max="1" width="19.85546875" customWidth="1"/>
    <col min="2" max="2" width="13.42578125" customWidth="1"/>
    <col min="3" max="3" width="14.42578125" style="73" customWidth="1"/>
    <col min="4" max="4" width="10.42578125" customWidth="1"/>
    <col min="5" max="5" width="11.28515625" customWidth="1"/>
    <col min="6" max="6" width="9.85546875" customWidth="1"/>
    <col min="7" max="7" width="8.85546875" customWidth="1"/>
    <col min="8" max="8" width="11" customWidth="1"/>
    <col min="9" max="9" width="8.7109375" customWidth="1"/>
    <col min="10" max="10" width="10.7109375" customWidth="1"/>
    <col min="11" max="11" width="7.5703125" customWidth="1"/>
    <col min="12" max="12" width="11.7109375" customWidth="1"/>
    <col min="13" max="13" width="10.5703125" customWidth="1"/>
    <col min="14" max="15" width="10.42578125" customWidth="1"/>
    <col min="16" max="16" width="11.7109375" bestFit="1" customWidth="1"/>
    <col min="19" max="19" width="10.7109375" bestFit="1" customWidth="1"/>
    <col min="20" max="20" width="9.28515625" bestFit="1" customWidth="1"/>
  </cols>
  <sheetData>
    <row r="1" spans="1:5">
      <c r="A1" s="19" t="s">
        <v>81</v>
      </c>
    </row>
    <row r="3" spans="1:5">
      <c r="A3" t="s">
        <v>178</v>
      </c>
      <c r="B3" s="49">
        <f>SUM(F30:F33)</f>
        <v>3600</v>
      </c>
    </row>
    <row r="4" spans="1:5">
      <c r="A4" t="s">
        <v>175</v>
      </c>
      <c r="B4" s="23">
        <v>300000</v>
      </c>
    </row>
    <row r="5" spans="1:5">
      <c r="A5" t="s">
        <v>119</v>
      </c>
      <c r="B5" s="23">
        <f>B3*B4</f>
        <v>1080000000</v>
      </c>
    </row>
    <row r="6" spans="1:5">
      <c r="A6" t="s">
        <v>176</v>
      </c>
      <c r="B6" s="2">
        <v>2.5000000000000001E-2</v>
      </c>
    </row>
    <row r="7" spans="1:5">
      <c r="A7" t="s">
        <v>177</v>
      </c>
      <c r="B7" s="53">
        <f>B4*B6</f>
        <v>7500</v>
      </c>
    </row>
    <row r="9" spans="1:5">
      <c r="A9" s="8" t="s">
        <v>95</v>
      </c>
    </row>
    <row r="10" spans="1:5">
      <c r="A10" s="28" t="s">
        <v>91</v>
      </c>
      <c r="B10" s="14">
        <v>0.3</v>
      </c>
    </row>
    <row r="11" spans="1:5">
      <c r="A11" s="28" t="s">
        <v>84</v>
      </c>
      <c r="B11" s="63">
        <v>22000</v>
      </c>
    </row>
    <row r="12" spans="1:5">
      <c r="A12" s="28" t="s">
        <v>82</v>
      </c>
      <c r="B12" s="3">
        <v>0.06</v>
      </c>
    </row>
    <row r="13" spans="1:5">
      <c r="A13" s="28" t="s">
        <v>83</v>
      </c>
      <c r="B13" s="63">
        <v>3000</v>
      </c>
    </row>
    <row r="14" spans="1:5">
      <c r="B14" s="63"/>
    </row>
    <row r="15" spans="1:5">
      <c r="A15" s="66" t="s">
        <v>90</v>
      </c>
      <c r="B15" s="103">
        <v>225</v>
      </c>
    </row>
    <row r="16" spans="1:5">
      <c r="A16" s="28"/>
      <c r="B16" s="63"/>
      <c r="E16" s="57"/>
    </row>
    <row r="17" spans="1:18">
      <c r="A17" s="28"/>
      <c r="B17" s="63"/>
      <c r="E17" s="57"/>
    </row>
    <row r="18" spans="1:18">
      <c r="A18" s="65" t="s">
        <v>89</v>
      </c>
      <c r="B18" s="63"/>
      <c r="C18" s="73" t="s">
        <v>97</v>
      </c>
    </row>
    <row r="19" spans="1:18">
      <c r="A19" s="32" t="s">
        <v>86</v>
      </c>
      <c r="B19" s="64">
        <v>40</v>
      </c>
      <c r="C19" s="74">
        <f>B19*12</f>
        <v>480</v>
      </c>
    </row>
    <row r="20" spans="1:18">
      <c r="A20" s="32" t="s">
        <v>87</v>
      </c>
      <c r="B20" s="63">
        <v>25</v>
      </c>
      <c r="C20" s="75">
        <f>B20*12</f>
        <v>300</v>
      </c>
    </row>
    <row r="21" spans="1:18">
      <c r="A21" s="32" t="s">
        <v>88</v>
      </c>
      <c r="B21" s="63">
        <v>15</v>
      </c>
      <c r="C21" s="75">
        <f>B21*12</f>
        <v>180</v>
      </c>
    </row>
    <row r="22" spans="1:18">
      <c r="A22" t="s">
        <v>96</v>
      </c>
      <c r="B22" s="63">
        <v>100</v>
      </c>
      <c r="C22" s="128">
        <f>B22*1</f>
        <v>100</v>
      </c>
    </row>
    <row r="23" spans="1:18">
      <c r="B23" s="63"/>
      <c r="C23" s="75">
        <f>SUM(C19:C22)</f>
        <v>1060</v>
      </c>
    </row>
    <row r="25" spans="1:18">
      <c r="A25" s="56" t="s">
        <v>131</v>
      </c>
    </row>
    <row r="26" spans="1:18">
      <c r="A26" s="56"/>
    </row>
    <row r="27" spans="1:18">
      <c r="A27" s="67" t="s">
        <v>94</v>
      </c>
      <c r="B27">
        <v>500</v>
      </c>
    </row>
    <row r="29" spans="1:18" s="51" customFormat="1" ht="39">
      <c r="B29" s="52" t="s">
        <v>121</v>
      </c>
      <c r="C29" s="76" t="s">
        <v>122</v>
      </c>
      <c r="D29" s="52" t="s">
        <v>123</v>
      </c>
      <c r="E29" s="52" t="s">
        <v>124</v>
      </c>
      <c r="F29" s="52" t="s">
        <v>125</v>
      </c>
      <c r="G29" s="52" t="s">
        <v>126</v>
      </c>
      <c r="H29" s="52" t="s">
        <v>33</v>
      </c>
      <c r="I29" s="52" t="s">
        <v>127</v>
      </c>
      <c r="J29" s="52" t="s">
        <v>66</v>
      </c>
      <c r="K29" s="52" t="s">
        <v>65</v>
      </c>
      <c r="L29" s="52" t="s">
        <v>30</v>
      </c>
      <c r="M29" s="52" t="s">
        <v>31</v>
      </c>
      <c r="N29" s="52" t="s">
        <v>92</v>
      </c>
      <c r="O29" s="52" t="s">
        <v>93</v>
      </c>
      <c r="P29" s="52" t="s">
        <v>32</v>
      </c>
      <c r="Q29" s="52" t="s">
        <v>64</v>
      </c>
      <c r="R29" s="52" t="s">
        <v>89</v>
      </c>
    </row>
    <row r="30" spans="1:18">
      <c r="A30" t="s">
        <v>180</v>
      </c>
      <c r="B30" s="3">
        <f>1-$B$10</f>
        <v>0.7</v>
      </c>
      <c r="C30" s="73">
        <f>ROUND(35*1,0)</f>
        <v>35</v>
      </c>
      <c r="D30" s="3">
        <v>0.1</v>
      </c>
      <c r="E30">
        <f>$B$27*D30</f>
        <v>50</v>
      </c>
      <c r="F30">
        <f>C30*E30</f>
        <v>1750</v>
      </c>
      <c r="G30" s="35">
        <f>F30/$B$3</f>
        <v>0.4861111111111111</v>
      </c>
      <c r="H30" s="23">
        <f>F30*$B$7</f>
        <v>13125000</v>
      </c>
      <c r="I30" s="23">
        <f>H30/E30</f>
        <v>262500</v>
      </c>
      <c r="J30" s="44">
        <f>K30*E30</f>
        <v>150000</v>
      </c>
      <c r="K30" s="44">
        <f>IF((I30*$B$12)&gt;$B$13,$B$13,(I30*$B$12))</f>
        <v>3000</v>
      </c>
      <c r="L30" s="44">
        <f>H30-J30</f>
        <v>12975000</v>
      </c>
      <c r="M30" s="23">
        <f>L30/E30</f>
        <v>259500</v>
      </c>
      <c r="N30" s="23">
        <f>M30*$B$10</f>
        <v>77850</v>
      </c>
      <c r="O30" s="23">
        <f>IF(N30&gt;$B$11, $B$11, N30)</f>
        <v>22000</v>
      </c>
      <c r="P30" s="44">
        <f>O30*E30</f>
        <v>1100000</v>
      </c>
      <c r="Q30" s="70">
        <f>F30*$B$15</f>
        <v>393750</v>
      </c>
      <c r="R30" s="99">
        <f>$C$23*E30</f>
        <v>53000</v>
      </c>
    </row>
    <row r="31" spans="1:18">
      <c r="A31" t="s">
        <v>181</v>
      </c>
      <c r="B31" s="3">
        <f t="shared" ref="B31:B33" si="0">1-$B$10</f>
        <v>0.7</v>
      </c>
      <c r="C31" s="73">
        <v>12</v>
      </c>
      <c r="D31" s="3">
        <v>0.2</v>
      </c>
      <c r="E31">
        <f>$B$27*D31</f>
        <v>100</v>
      </c>
      <c r="F31">
        <f t="shared" ref="F31:F33" si="1">C31*E31</f>
        <v>1200</v>
      </c>
      <c r="G31" s="35">
        <f t="shared" ref="G31:G34" si="2">F31/$B$3</f>
        <v>0.33333333333333331</v>
      </c>
      <c r="H31" s="23">
        <f t="shared" ref="H31:H33" si="3">F31*$B$7</f>
        <v>9000000</v>
      </c>
      <c r="I31" s="23">
        <f t="shared" ref="I31:I34" si="4">H31/E31</f>
        <v>90000</v>
      </c>
      <c r="J31" s="44">
        <f>K31*E31</f>
        <v>300000</v>
      </c>
      <c r="K31" s="44">
        <f>IF((I31*$B$12)&gt;$B$13,$B$13,(I31*$B$12))</f>
        <v>3000</v>
      </c>
      <c r="L31" s="44">
        <f t="shared" ref="L31:L33" si="5">H31-J31</f>
        <v>8700000</v>
      </c>
      <c r="M31" s="23">
        <f t="shared" ref="M31:M34" si="6">L31/E31</f>
        <v>87000</v>
      </c>
      <c r="N31" s="23">
        <f t="shared" ref="N31:N34" si="7">M31*$B$10</f>
        <v>26100</v>
      </c>
      <c r="O31" s="23">
        <f t="shared" ref="O31:O34" si="8">IF(N31&gt;$B$11, $B$11, N31)</f>
        <v>22000</v>
      </c>
      <c r="P31" s="44">
        <f t="shared" ref="P31:P33" si="9">O31*E31</f>
        <v>2200000</v>
      </c>
      <c r="Q31" s="70">
        <f t="shared" ref="Q31:Q33" si="10">F31*$B$15</f>
        <v>270000</v>
      </c>
      <c r="R31" s="99">
        <f t="shared" ref="R31:R33" si="11">$C$23*E31</f>
        <v>106000</v>
      </c>
    </row>
    <row r="32" spans="1:18">
      <c r="A32" t="s">
        <v>182</v>
      </c>
      <c r="B32" s="3">
        <f t="shared" si="0"/>
        <v>0.7</v>
      </c>
      <c r="C32" s="73">
        <v>3</v>
      </c>
      <c r="D32" s="3">
        <v>0.3</v>
      </c>
      <c r="E32">
        <f>$B$27*D32</f>
        <v>150</v>
      </c>
      <c r="F32">
        <f t="shared" si="1"/>
        <v>450</v>
      </c>
      <c r="G32" s="35">
        <f t="shared" si="2"/>
        <v>0.125</v>
      </c>
      <c r="H32" s="23">
        <f t="shared" si="3"/>
        <v>3375000</v>
      </c>
      <c r="I32" s="23">
        <f t="shared" si="4"/>
        <v>22500</v>
      </c>
      <c r="J32" s="44">
        <f>K32*E32</f>
        <v>202500</v>
      </c>
      <c r="K32" s="44">
        <f>IF((I32*$B$12)&gt;$B$13,$B$13,(I32*$B$12))</f>
        <v>1350</v>
      </c>
      <c r="L32" s="44">
        <f t="shared" si="5"/>
        <v>3172500</v>
      </c>
      <c r="M32" s="23">
        <f t="shared" si="6"/>
        <v>21150</v>
      </c>
      <c r="N32" s="23">
        <f t="shared" si="7"/>
        <v>6345</v>
      </c>
      <c r="O32" s="23">
        <f t="shared" si="8"/>
        <v>6345</v>
      </c>
      <c r="P32" s="44">
        <f t="shared" si="9"/>
        <v>951750</v>
      </c>
      <c r="Q32" s="70">
        <f t="shared" si="10"/>
        <v>101250</v>
      </c>
      <c r="R32" s="99">
        <f t="shared" si="11"/>
        <v>159000</v>
      </c>
    </row>
    <row r="33" spans="1:18">
      <c r="A33" t="s">
        <v>183</v>
      </c>
      <c r="B33" s="3">
        <f t="shared" si="0"/>
        <v>0.7</v>
      </c>
      <c r="C33" s="77">
        <v>1</v>
      </c>
      <c r="D33" s="9">
        <v>0.4</v>
      </c>
      <c r="E33" s="8">
        <f>$B$27*D33</f>
        <v>200</v>
      </c>
      <c r="F33" s="8">
        <f t="shared" si="1"/>
        <v>200</v>
      </c>
      <c r="G33" s="10">
        <f t="shared" si="2"/>
        <v>5.5555555555555552E-2</v>
      </c>
      <c r="H33" s="16">
        <f t="shared" si="3"/>
        <v>1500000</v>
      </c>
      <c r="I33" s="16">
        <f t="shared" si="4"/>
        <v>7500</v>
      </c>
      <c r="J33" s="34">
        <f>K33*E33</f>
        <v>90000</v>
      </c>
      <c r="K33" s="34">
        <f>IF((I33*$B$12)&gt;$B$13,$B$13,(I33*$B$12))</f>
        <v>450</v>
      </c>
      <c r="L33" s="34">
        <f t="shared" si="5"/>
        <v>1410000</v>
      </c>
      <c r="M33" s="16">
        <f t="shared" si="6"/>
        <v>7050</v>
      </c>
      <c r="N33" s="16">
        <f t="shared" si="7"/>
        <v>2115</v>
      </c>
      <c r="O33" s="16">
        <f t="shared" si="8"/>
        <v>2115</v>
      </c>
      <c r="P33" s="34">
        <f t="shared" si="9"/>
        <v>423000</v>
      </c>
      <c r="Q33" s="71">
        <f t="shared" si="10"/>
        <v>45000</v>
      </c>
      <c r="R33" s="68">
        <f t="shared" si="11"/>
        <v>212000</v>
      </c>
    </row>
    <row r="34" spans="1:18">
      <c r="A34" t="s">
        <v>158</v>
      </c>
      <c r="D34" s="3">
        <f>SUM(D30:D33)</f>
        <v>1</v>
      </c>
      <c r="E34">
        <f>SUM(E30:E33)</f>
        <v>500</v>
      </c>
      <c r="F34">
        <f>SUM(F30:F33)</f>
        <v>3600</v>
      </c>
      <c r="G34" s="35">
        <f t="shared" si="2"/>
        <v>1</v>
      </c>
      <c r="H34" s="23">
        <f>SUM(H30:H33)</f>
        <v>27000000</v>
      </c>
      <c r="I34" s="23">
        <f t="shared" si="4"/>
        <v>54000</v>
      </c>
      <c r="J34" s="69">
        <f t="shared" ref="J34" si="12">SUM(J30:J33)</f>
        <v>742500</v>
      </c>
      <c r="L34" s="69">
        <f>SUM(L30:L33)</f>
        <v>26257500</v>
      </c>
      <c r="M34" s="23">
        <f>L34/E34</f>
        <v>52515</v>
      </c>
      <c r="N34" s="23"/>
      <c r="O34" s="23"/>
      <c r="P34" s="105">
        <f>SUM(P30:P33)</f>
        <v>4674750</v>
      </c>
      <c r="Q34" s="69">
        <f t="shared" ref="Q34:R34" si="13">SUM(Q30:Q33)</f>
        <v>810000</v>
      </c>
      <c r="R34" s="69">
        <f t="shared" si="13"/>
        <v>530000</v>
      </c>
    </row>
    <row r="36" spans="1:18">
      <c r="A36" t="s">
        <v>29</v>
      </c>
      <c r="C36" s="80">
        <f>P34</f>
        <v>4674750</v>
      </c>
    </row>
    <row r="37" spans="1:18">
      <c r="C37" s="106">
        <f>C36/H34</f>
        <v>0.1731388888888889</v>
      </c>
    </row>
    <row r="38" spans="1:18">
      <c r="A38" t="s">
        <v>34</v>
      </c>
      <c r="C38" s="107">
        <f>Q34+R34</f>
        <v>1340000</v>
      </c>
    </row>
    <row r="39" spans="1:18">
      <c r="C39" s="106">
        <f>C38/H34</f>
        <v>4.9629629629629628E-2</v>
      </c>
    </row>
    <row r="40" spans="1:18">
      <c r="A40" s="55" t="s">
        <v>35</v>
      </c>
      <c r="C40" s="78">
        <f>SUM(P34:R34)</f>
        <v>6014750</v>
      </c>
      <c r="J40" s="13"/>
      <c r="K40" s="13"/>
      <c r="L40" s="13"/>
      <c r="P40" s="13"/>
    </row>
    <row r="41" spans="1:18">
      <c r="C41" s="79">
        <f>C40/H34</f>
        <v>0.22276851851851853</v>
      </c>
    </row>
    <row r="43" spans="1:18">
      <c r="A43" t="s">
        <v>159</v>
      </c>
      <c r="B43" t="s">
        <v>113</v>
      </c>
    </row>
    <row r="45" spans="1:18">
      <c r="A45" s="54"/>
    </row>
    <row r="46" spans="1:18">
      <c r="A46" t="s">
        <v>186</v>
      </c>
      <c r="B46" s="2">
        <v>0.05</v>
      </c>
      <c r="C46" s="81">
        <f>B46*$H$34</f>
        <v>1350000</v>
      </c>
      <c r="D46" s="21"/>
      <c r="P46" s="72"/>
    </row>
    <row r="47" spans="1:18">
      <c r="A47" t="s">
        <v>187</v>
      </c>
      <c r="B47" s="2">
        <f t="shared" ref="B47" ca="1" si="14">C47/$H$34</f>
        <v>0.05</v>
      </c>
      <c r="C47" s="81">
        <f t="shared" ref="C47:C48" ca="1" si="15">B47*$H$34</f>
        <v>1350000</v>
      </c>
      <c r="D47" s="21"/>
    </row>
    <row r="48" spans="1:18">
      <c r="A48" t="s">
        <v>108</v>
      </c>
      <c r="B48" s="2">
        <v>0.1</v>
      </c>
      <c r="C48" s="81">
        <f t="shared" si="15"/>
        <v>2700000</v>
      </c>
      <c r="D48" s="21"/>
    </row>
    <row r="49" spans="1:4">
      <c r="A49" t="s">
        <v>109</v>
      </c>
      <c r="B49" s="2">
        <v>0.05</v>
      </c>
      <c r="C49" s="82">
        <f>B49*$H$34</f>
        <v>1350000</v>
      </c>
      <c r="D49" s="21"/>
    </row>
    <row r="50" spans="1:4">
      <c r="A50" t="s">
        <v>110</v>
      </c>
      <c r="C50" s="83">
        <f ca="1">SUM(C46:C49)</f>
        <v>6750000</v>
      </c>
      <c r="D50" s="21"/>
    </row>
    <row r="52" spans="1:4">
      <c r="A52" t="s">
        <v>70</v>
      </c>
      <c r="C52" s="84">
        <f ca="1">C40-C50</f>
        <v>-735250</v>
      </c>
    </row>
    <row r="53" spans="1:4">
      <c r="A53" t="s">
        <v>114</v>
      </c>
      <c r="C53" s="85">
        <f ca="1">C52/H34</f>
        <v>-2.7231481481481482E-2</v>
      </c>
    </row>
    <row r="54" spans="1:4">
      <c r="C54" s="85"/>
    </row>
    <row r="55" spans="1:4">
      <c r="A55" t="s">
        <v>67</v>
      </c>
      <c r="B55" t="s">
        <v>68</v>
      </c>
      <c r="C55" s="86" t="s">
        <v>69</v>
      </c>
    </row>
    <row r="56" spans="1:4">
      <c r="A56" s="57">
        <f>2990*12</f>
        <v>35880</v>
      </c>
      <c r="B56" s="14">
        <v>0.25</v>
      </c>
      <c r="C56" s="87">
        <f ca="1">IF($C$52&gt;A56,A56*B56,0)</f>
        <v>0</v>
      </c>
      <c r="D56" s="70"/>
    </row>
    <row r="57" spans="1:4">
      <c r="A57" s="57">
        <f>8250*12</f>
        <v>99000</v>
      </c>
      <c r="B57" s="14">
        <v>0.35</v>
      </c>
      <c r="C57" s="87">
        <f t="shared" ref="C57:C58" ca="1" si="16">IF($C$52&gt;A57,A57*B57,0)</f>
        <v>0</v>
      </c>
      <c r="D57" s="89"/>
    </row>
    <row r="58" spans="1:4">
      <c r="A58" s="57">
        <f ca="1">IF(C52-A56-A57&gt;0,C52-A56-A57,0)</f>
        <v>0</v>
      </c>
      <c r="B58" s="14">
        <v>0.5</v>
      </c>
      <c r="C58" s="102">
        <f ca="1">IF($C$52&gt;A58,A58*B58,0)</f>
        <v>0</v>
      </c>
      <c r="D58" s="90"/>
    </row>
    <row r="59" spans="1:4">
      <c r="C59" s="88">
        <f ca="1">SUM(C56:C58)</f>
        <v>0</v>
      </c>
      <c r="D59" s="88"/>
    </row>
    <row r="60" spans="1:4">
      <c r="C60" s="88"/>
      <c r="D60" s="88"/>
    </row>
    <row r="61" spans="1:4">
      <c r="A61" t="s">
        <v>37</v>
      </c>
      <c r="C61" s="108">
        <f ca="1">C59/C36</f>
        <v>0</v>
      </c>
      <c r="D61" s="88"/>
    </row>
    <row r="62" spans="1:4">
      <c r="C62" s="88"/>
      <c r="D62" s="88"/>
    </row>
    <row r="63" spans="1:4">
      <c r="A63" s="55" t="s">
        <v>71</v>
      </c>
      <c r="C63" s="91">
        <f ca="1">C52-C59</f>
        <v>-735250</v>
      </c>
      <c r="D63" s="88"/>
    </row>
    <row r="64" spans="1:4">
      <c r="A64" t="s">
        <v>114</v>
      </c>
      <c r="C64" s="85">
        <f ca="1">C63/$H$34</f>
        <v>-2.7231481481481482E-2</v>
      </c>
      <c r="D64" s="88"/>
    </row>
    <row r="65" spans="1:12">
      <c r="C65" s="88"/>
      <c r="D65" s="88"/>
    </row>
    <row r="66" spans="1:12">
      <c r="C66" s="109"/>
      <c r="D66" s="110" t="s">
        <v>72</v>
      </c>
      <c r="E66" s="110"/>
      <c r="F66" s="110"/>
      <c r="G66" s="110"/>
      <c r="H66" s="110"/>
      <c r="I66" s="111"/>
      <c r="J66" s="111"/>
      <c r="K66" s="111"/>
      <c r="L66" s="112"/>
    </row>
    <row r="67" spans="1:12" s="51" customFormat="1" ht="39">
      <c r="C67" s="113" t="s">
        <v>39</v>
      </c>
      <c r="D67" s="96" t="s">
        <v>38</v>
      </c>
      <c r="E67" s="96" t="s">
        <v>36</v>
      </c>
      <c r="F67" s="96" t="s">
        <v>73</v>
      </c>
      <c r="G67" s="97" t="s">
        <v>74</v>
      </c>
      <c r="H67" s="97" t="s">
        <v>85</v>
      </c>
      <c r="I67" s="97" t="s">
        <v>75</v>
      </c>
      <c r="J67" s="114" t="s">
        <v>76</v>
      </c>
      <c r="K67" s="115"/>
    </row>
    <row r="68" spans="1:12">
      <c r="A68" t="s">
        <v>137</v>
      </c>
      <c r="C68" s="116">
        <f>M30-O30</f>
        <v>237500</v>
      </c>
      <c r="D68" s="117">
        <f>O30</f>
        <v>22000</v>
      </c>
      <c r="E68" s="94">
        <f ca="1">$C$61</f>
        <v>0</v>
      </c>
      <c r="F68" s="95">
        <f ca="1">D68*E68</f>
        <v>0</v>
      </c>
      <c r="G68" s="118">
        <f ca="1">F68*E30</f>
        <v>0</v>
      </c>
      <c r="H68" s="98">
        <f>Q30/E30</f>
        <v>7875</v>
      </c>
      <c r="I68" s="99">
        <f>R30/E30</f>
        <v>1060</v>
      </c>
      <c r="J68" s="119">
        <f ca="1">(C68+F68)-(H68+I68)</f>
        <v>228565</v>
      </c>
      <c r="K68" s="111"/>
    </row>
    <row r="69" spans="1:12">
      <c r="A69" t="s">
        <v>138</v>
      </c>
      <c r="C69" s="116">
        <f t="shared" ref="C69:C71" si="17">M31-O31</f>
        <v>65000</v>
      </c>
      <c r="D69" s="117">
        <f t="shared" ref="D69:D71" si="18">O31</f>
        <v>22000</v>
      </c>
      <c r="E69" s="94">
        <f t="shared" ref="E69:E71" ca="1" si="19">$C$61</f>
        <v>0</v>
      </c>
      <c r="F69" s="95">
        <f t="shared" ref="F69:F71" ca="1" si="20">D69*E69</f>
        <v>0</v>
      </c>
      <c r="G69" s="118">
        <f ca="1">F69*E31</f>
        <v>0</v>
      </c>
      <c r="H69" s="98">
        <f>Q31/E31</f>
        <v>2700</v>
      </c>
      <c r="I69" s="99">
        <f>R31/E31</f>
        <v>1060</v>
      </c>
      <c r="J69" s="119">
        <f t="shared" ref="J69:J71" ca="1" si="21">(C69+F69)-(H69+I69)</f>
        <v>61240</v>
      </c>
      <c r="K69" s="111"/>
    </row>
    <row r="70" spans="1:12">
      <c r="A70" t="s">
        <v>139</v>
      </c>
      <c r="C70" s="116">
        <f t="shared" si="17"/>
        <v>14805</v>
      </c>
      <c r="D70" s="117">
        <f t="shared" si="18"/>
        <v>6345</v>
      </c>
      <c r="E70" s="94">
        <f t="shared" ca="1" si="19"/>
        <v>0</v>
      </c>
      <c r="F70" s="95">
        <f t="shared" ca="1" si="20"/>
        <v>0</v>
      </c>
      <c r="G70" s="118">
        <f ca="1">F70*E32</f>
        <v>0</v>
      </c>
      <c r="H70" s="98">
        <f>Q32/E32</f>
        <v>675</v>
      </c>
      <c r="I70" s="99">
        <f>R32/E32</f>
        <v>1060</v>
      </c>
      <c r="J70" s="119">
        <f t="shared" ca="1" si="21"/>
        <v>13070</v>
      </c>
      <c r="K70" s="111"/>
    </row>
    <row r="71" spans="1:12">
      <c r="A71" t="s">
        <v>140</v>
      </c>
      <c r="C71" s="116">
        <f t="shared" si="17"/>
        <v>4935</v>
      </c>
      <c r="D71" s="117">
        <f t="shared" si="18"/>
        <v>2115</v>
      </c>
      <c r="E71" s="94">
        <f t="shared" ca="1" si="19"/>
        <v>0</v>
      </c>
      <c r="F71" s="95">
        <f t="shared" ca="1" si="20"/>
        <v>0</v>
      </c>
      <c r="G71" s="118">
        <f ca="1">F71*E33</f>
        <v>0</v>
      </c>
      <c r="H71" s="98">
        <f>Q33/E33</f>
        <v>225</v>
      </c>
      <c r="I71" s="99">
        <f>R33/E33</f>
        <v>1060</v>
      </c>
      <c r="J71" s="119">
        <f t="shared" ca="1" si="21"/>
        <v>3650</v>
      </c>
      <c r="K71" s="111"/>
    </row>
    <row r="72" spans="1:12">
      <c r="C72" s="109"/>
      <c r="D72" s="111"/>
      <c r="E72" s="111"/>
      <c r="F72" s="111"/>
      <c r="G72" s="118">
        <f ca="1">SUM(G68:G71)</f>
        <v>0</v>
      </c>
      <c r="H72" s="111"/>
      <c r="I72" s="111"/>
      <c r="J72" s="111"/>
      <c r="K72" s="112"/>
      <c r="L72" s="111"/>
    </row>
  </sheetData>
  <phoneticPr fontId="8" type="noConversion"/>
  <pageMargins left="0.75" right="0.75" top="1" bottom="1" header="0.5" footer="0.5"/>
  <pageSetup orientation="portrait" horizontalDpi="4294967292" verticalDpi="4294967292"/>
  <headerFooter>
    <oddFooter>&amp;L&amp;A&amp;C&amp;"Verdana,Bold"Copyright 2009, 7DS Associates_x000D_www.7dsassociates.com&amp;RPage &amp;P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G71"/>
  <sheetViews>
    <sheetView topLeftCell="A28" workbookViewId="0">
      <selection activeCell="C2" sqref="C2"/>
    </sheetView>
  </sheetViews>
  <sheetFormatPr baseColWidth="10" defaultRowHeight="13"/>
  <cols>
    <col min="1" max="1" width="23" customWidth="1"/>
    <col min="2" max="2" width="13.140625" customWidth="1"/>
    <col min="3" max="3" width="14.5703125" customWidth="1"/>
    <col min="4" max="4" width="13.5703125" customWidth="1"/>
    <col min="8" max="8" width="12.42578125" customWidth="1"/>
    <col min="10" max="10" width="12.140625" customWidth="1"/>
  </cols>
  <sheetData>
    <row r="1" spans="1:5">
      <c r="A1" s="19" t="s">
        <v>118</v>
      </c>
    </row>
    <row r="3" spans="1:5">
      <c r="A3" t="s">
        <v>178</v>
      </c>
      <c r="C3" s="33">
        <f>'SIMOPT-LG'!B3</f>
        <v>4050</v>
      </c>
    </row>
    <row r="4" spans="1:5">
      <c r="A4" t="s">
        <v>175</v>
      </c>
      <c r="C4" s="23">
        <v>300000</v>
      </c>
    </row>
    <row r="5" spans="1:5">
      <c r="A5" t="s">
        <v>119</v>
      </c>
      <c r="C5" s="23">
        <f>C3*C4</f>
        <v>1215000000</v>
      </c>
    </row>
    <row r="6" spans="1:5">
      <c r="A6" t="s">
        <v>176</v>
      </c>
      <c r="C6" s="2">
        <v>2.5000000000000001E-2</v>
      </c>
    </row>
    <row r="7" spans="1:5">
      <c r="A7" t="s">
        <v>177</v>
      </c>
      <c r="C7" s="23">
        <f>C4*C6</f>
        <v>7500</v>
      </c>
    </row>
    <row r="9" spans="1:5">
      <c r="A9" s="55" t="s">
        <v>131</v>
      </c>
      <c r="C9" s="44"/>
      <c r="D9" t="s">
        <v>153</v>
      </c>
      <c r="E9" t="s">
        <v>141</v>
      </c>
    </row>
    <row r="10" spans="1:5">
      <c r="A10" s="28" t="s">
        <v>155</v>
      </c>
      <c r="B10" s="35">
        <f>C10/C3</f>
        <v>0.33333333333333331</v>
      </c>
      <c r="C10" s="33">
        <f>ROUND(C3/3,0)</f>
        <v>1350</v>
      </c>
      <c r="D10">
        <v>60</v>
      </c>
      <c r="E10" s="46">
        <f>ROUNDUP(C10/D10,0)</f>
        <v>23</v>
      </c>
    </row>
    <row r="11" spans="1:5">
      <c r="A11" s="28" t="s">
        <v>157</v>
      </c>
      <c r="C11" s="37">
        <f>C10*C7</f>
        <v>10125000</v>
      </c>
    </row>
    <row r="12" spans="1:5">
      <c r="A12" s="28" t="s">
        <v>154</v>
      </c>
      <c r="B12" s="35">
        <f>C12/C3</f>
        <v>0.66666666666666663</v>
      </c>
      <c r="C12" s="33">
        <f>C3-C10</f>
        <v>2700</v>
      </c>
    </row>
    <row r="13" spans="1:5" ht="14" thickBot="1">
      <c r="A13" s="28" t="s">
        <v>156</v>
      </c>
      <c r="C13" s="41">
        <f>C12*C7</f>
        <v>20250000</v>
      </c>
    </row>
    <row r="14" spans="1:5">
      <c r="A14" s="38" t="s">
        <v>158</v>
      </c>
      <c r="B14" s="39"/>
      <c r="C14" s="48">
        <f>C11+C13</f>
        <v>30375000</v>
      </c>
    </row>
    <row r="15" spans="1:5">
      <c r="A15" s="28"/>
      <c r="C15" s="46"/>
    </row>
    <row r="16" spans="1:5">
      <c r="A16" s="56" t="s">
        <v>132</v>
      </c>
    </row>
    <row r="17" spans="1:7">
      <c r="A17" s="28" t="s">
        <v>160</v>
      </c>
      <c r="C17" s="14">
        <v>0.1</v>
      </c>
    </row>
    <row r="18" spans="1:7">
      <c r="A18" s="28" t="s">
        <v>161</v>
      </c>
      <c r="C18" s="34">
        <f>C17*C7</f>
        <v>750</v>
      </c>
      <c r="D18" t="s">
        <v>143</v>
      </c>
    </row>
    <row r="19" spans="1:7">
      <c r="A19" s="28" t="s">
        <v>162</v>
      </c>
      <c r="C19" s="44">
        <f>C18*C10</f>
        <v>1012500</v>
      </c>
    </row>
    <row r="21" spans="1:7">
      <c r="A21" s="28" t="s">
        <v>186</v>
      </c>
      <c r="B21" s="2">
        <f>C21/C14</f>
        <v>1.9851851851851853E-2</v>
      </c>
      <c r="C21" s="23">
        <f>20*150*F29</f>
        <v>603000</v>
      </c>
      <c r="D21" t="s">
        <v>102</v>
      </c>
    </row>
    <row r="22" spans="1:7">
      <c r="A22" s="28"/>
      <c r="B22" s="2"/>
      <c r="C22" s="23"/>
    </row>
    <row r="23" spans="1:7">
      <c r="A23" s="28" t="s">
        <v>187</v>
      </c>
      <c r="B23" s="2"/>
      <c r="C23" s="23"/>
    </row>
    <row r="24" spans="1:7">
      <c r="A24" s="36" t="s">
        <v>168</v>
      </c>
      <c r="B24" s="2">
        <v>0.1</v>
      </c>
      <c r="C24" s="23">
        <f>$C$14*B24</f>
        <v>3037500</v>
      </c>
      <c r="D24" t="s">
        <v>174</v>
      </c>
    </row>
    <row r="25" spans="1:7">
      <c r="A25" s="36" t="s">
        <v>169</v>
      </c>
      <c r="B25" s="2">
        <v>0.2</v>
      </c>
      <c r="C25" s="23">
        <f>$C$14*B25</f>
        <v>6075000</v>
      </c>
      <c r="D25" t="s">
        <v>149</v>
      </c>
    </row>
    <row r="26" spans="1:7">
      <c r="A26" s="28"/>
      <c r="B26" s="2"/>
      <c r="C26" s="23"/>
    </row>
    <row r="27" spans="1:7">
      <c r="A27" s="28" t="s">
        <v>108</v>
      </c>
    </row>
    <row r="28" spans="1:7">
      <c r="A28" s="36" t="s">
        <v>170</v>
      </c>
      <c r="B28" s="2">
        <v>0.17499999999999999</v>
      </c>
      <c r="C28" s="23">
        <f>$C$14*B28</f>
        <v>5315625</v>
      </c>
      <c r="D28" t="s">
        <v>150</v>
      </c>
      <c r="F28" s="60">
        <f>ROUND(C28/50000,0)</f>
        <v>106</v>
      </c>
      <c r="G28" t="s">
        <v>171</v>
      </c>
    </row>
    <row r="29" spans="1:7">
      <c r="A29" s="36"/>
      <c r="B29" s="2"/>
      <c r="C29" s="23"/>
      <c r="F29" s="61">
        <f>F28+C32+E10</f>
        <v>201</v>
      </c>
      <c r="G29" t="s">
        <v>151</v>
      </c>
    </row>
    <row r="30" spans="1:7">
      <c r="A30" s="36" t="s">
        <v>164</v>
      </c>
      <c r="C30" s="33">
        <f>'SIM-LG'!B3</f>
        <v>3600</v>
      </c>
    </row>
    <row r="31" spans="1:7">
      <c r="A31" s="36" t="s">
        <v>163</v>
      </c>
      <c r="C31" s="33">
        <v>50</v>
      </c>
    </row>
    <row r="32" spans="1:7">
      <c r="A32" s="36" t="s">
        <v>165</v>
      </c>
      <c r="C32" s="33">
        <f>ROUND(C30/C31,0)</f>
        <v>72</v>
      </c>
    </row>
    <row r="33" spans="1:6">
      <c r="A33" s="36" t="s">
        <v>166</v>
      </c>
      <c r="C33" s="16">
        <v>40000</v>
      </c>
    </row>
    <row r="34" spans="1:6">
      <c r="A34" s="36" t="s">
        <v>167</v>
      </c>
      <c r="C34" s="23">
        <f>C33*C32</f>
        <v>2880000</v>
      </c>
    </row>
    <row r="35" spans="1:6">
      <c r="A35" s="28"/>
      <c r="B35" s="2"/>
      <c r="C35" s="23"/>
      <c r="F35" s="24"/>
    </row>
    <row r="36" spans="1:6">
      <c r="A36" s="28" t="s">
        <v>172</v>
      </c>
      <c r="B36" s="2"/>
      <c r="C36" s="23">
        <f>(C34+C28)*0.3</f>
        <v>2458687.5</v>
      </c>
      <c r="F36" s="24"/>
    </row>
    <row r="37" spans="1:6">
      <c r="A37" s="28"/>
      <c r="B37" s="2"/>
      <c r="C37" s="23"/>
    </row>
    <row r="38" spans="1:6">
      <c r="A38" s="28" t="s">
        <v>109</v>
      </c>
      <c r="B38" s="2">
        <v>2.5000000000000001E-2</v>
      </c>
      <c r="C38" s="23">
        <f>$C$14*B38</f>
        <v>759375</v>
      </c>
      <c r="D38" t="s">
        <v>103</v>
      </c>
    </row>
    <row r="39" spans="1:6" ht="14" thickBot="1">
      <c r="A39" s="28"/>
      <c r="B39" s="2"/>
      <c r="C39" s="42"/>
      <c r="D39" s="43"/>
      <c r="E39" s="43"/>
    </row>
    <row r="40" spans="1:6">
      <c r="A40" s="55" t="s">
        <v>133</v>
      </c>
      <c r="C40" s="18">
        <f>C38+C36+C34+C28+C25+C24+C21+C19</f>
        <v>22141687.5</v>
      </c>
    </row>
    <row r="42" spans="1:6">
      <c r="A42" s="55" t="s">
        <v>134</v>
      </c>
      <c r="C42" s="29">
        <f>C14-C40</f>
        <v>8233312.5</v>
      </c>
    </row>
    <row r="43" spans="1:6">
      <c r="A43" s="55" t="s">
        <v>135</v>
      </c>
      <c r="C43" s="20">
        <f>C42/C14</f>
        <v>0.27105555555555555</v>
      </c>
    </row>
    <row r="47" spans="1:6">
      <c r="A47" s="39" t="s">
        <v>145</v>
      </c>
    </row>
    <row r="48" spans="1:6">
      <c r="A48" s="39"/>
    </row>
    <row r="49" spans="1:3">
      <c r="A49" t="s">
        <v>142</v>
      </c>
      <c r="C49" s="44">
        <f>C42/E10</f>
        <v>357970.10869565216</v>
      </c>
    </row>
    <row r="51" spans="1:3">
      <c r="A51" t="s">
        <v>152</v>
      </c>
      <c r="C51" s="45">
        <f>C18</f>
        <v>750</v>
      </c>
    </row>
    <row r="52" spans="1:3">
      <c r="A52" t="s">
        <v>144</v>
      </c>
      <c r="B52" s="14">
        <v>0.1</v>
      </c>
      <c r="C52" s="46">
        <f>ROUND(C10*B52,0)</f>
        <v>135</v>
      </c>
    </row>
    <row r="53" spans="1:3">
      <c r="A53" t="s">
        <v>146</v>
      </c>
      <c r="B53" s="14">
        <f>1-B52</f>
        <v>0.9</v>
      </c>
      <c r="C53" s="46">
        <f>ROUND(B53*C10,0)</f>
        <v>1215</v>
      </c>
    </row>
    <row r="54" spans="1:3">
      <c r="A54" t="s">
        <v>147</v>
      </c>
      <c r="C54" s="34">
        <f>C53*C51</f>
        <v>911250</v>
      </c>
    </row>
    <row r="55" spans="1:3">
      <c r="A55" t="s">
        <v>148</v>
      </c>
      <c r="C55" s="44">
        <f>C54/E10</f>
        <v>39619.565217391304</v>
      </c>
    </row>
    <row r="57" spans="1:3">
      <c r="A57" t="s">
        <v>158</v>
      </c>
      <c r="C57" s="47">
        <f>C49+C55</f>
        <v>397589.67391304346</v>
      </c>
    </row>
    <row r="59" spans="1:3">
      <c r="A59" t="s">
        <v>136</v>
      </c>
      <c r="C59" s="48">
        <f>'SIM-LG'!H50</f>
        <v>237815</v>
      </c>
    </row>
    <row r="62" spans="1:3">
      <c r="A62" s="55" t="s">
        <v>105</v>
      </c>
    </row>
    <row r="63" spans="1:3">
      <c r="A63" s="28" t="s">
        <v>107</v>
      </c>
      <c r="B63">
        <v>1.25</v>
      </c>
      <c r="C63" s="54" t="s">
        <v>78</v>
      </c>
    </row>
    <row r="64" spans="1:3">
      <c r="A64" s="28" t="s">
        <v>106</v>
      </c>
      <c r="B64" s="45">
        <f>$C$14*B63</f>
        <v>37968750</v>
      </c>
    </row>
    <row r="65" spans="1:3">
      <c r="A65" s="28" t="s">
        <v>79</v>
      </c>
      <c r="B65" s="45">
        <f>B64*2.5%</f>
        <v>949218.75</v>
      </c>
      <c r="C65" s="28" t="s">
        <v>80</v>
      </c>
    </row>
    <row r="66" spans="1:3">
      <c r="A66" s="28"/>
      <c r="B66" s="45"/>
    </row>
    <row r="67" spans="1:3">
      <c r="A67" s="28" t="s">
        <v>104</v>
      </c>
      <c r="B67" s="62">
        <f>(B64+B65)/$E$10</f>
        <v>1692085.5978260869</v>
      </c>
    </row>
    <row r="70" spans="1:3">
      <c r="A70" s="28"/>
      <c r="B70" s="45"/>
    </row>
    <row r="71" spans="1:3">
      <c r="A71" s="28"/>
      <c r="B71" s="62"/>
    </row>
  </sheetData>
  <phoneticPr fontId="8" type="noConversion"/>
  <pageMargins left="0.75" right="0.75" top="1" bottom="1" header="0.5" footer="0.5"/>
  <pageSetup orientation="portrait" horizontalDpi="4294967292" verticalDpi="4294967292"/>
  <headerFooter>
    <oddFooter>&amp;L&amp;A&amp;C&amp;"Verdana,Bold"Copyright 2009, 7DS Associates_x000D_www.7dsassociates.com&amp;RPage &amp;P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W54"/>
  <sheetViews>
    <sheetView workbookViewId="0">
      <selection activeCell="B26" sqref="B26"/>
    </sheetView>
  </sheetViews>
  <sheetFormatPr baseColWidth="10" defaultRowHeight="13"/>
  <cols>
    <col min="1" max="1" width="19.85546875" customWidth="1"/>
    <col min="2" max="2" width="13.42578125" customWidth="1"/>
    <col min="3" max="3" width="12.42578125" customWidth="1"/>
    <col min="4" max="4" width="8.42578125" customWidth="1"/>
    <col min="5" max="6" width="9.5703125" customWidth="1"/>
    <col min="7" max="7" width="8.85546875" customWidth="1"/>
    <col min="8" max="8" width="13" customWidth="1"/>
    <col min="9" max="9" width="8.7109375" customWidth="1"/>
    <col min="10" max="11" width="10.5703125" customWidth="1"/>
    <col min="12" max="12" width="13" customWidth="1"/>
    <col min="13" max="13" width="8.7109375" customWidth="1"/>
    <col min="14" max="14" width="11.140625" customWidth="1"/>
    <col min="15" max="15" width="8.42578125" customWidth="1"/>
    <col min="16" max="17" width="10.28515625" customWidth="1"/>
    <col min="18" max="18" width="7.42578125" customWidth="1"/>
    <col min="19" max="19" width="9.85546875" customWidth="1"/>
    <col min="20" max="20" width="8.28515625" customWidth="1"/>
    <col min="21" max="21" width="12.5703125" customWidth="1"/>
    <col min="22" max="22" width="13.42578125" customWidth="1"/>
    <col min="23" max="23" width="10.140625" customWidth="1"/>
  </cols>
  <sheetData>
    <row r="1" spans="1:5">
      <c r="A1" s="19" t="s">
        <v>120</v>
      </c>
    </row>
    <row r="3" spans="1:5">
      <c r="A3" t="s">
        <v>178</v>
      </c>
      <c r="B3" s="49">
        <f>SUM(F22:F25)</f>
        <v>4050</v>
      </c>
    </row>
    <row r="4" spans="1:5">
      <c r="A4" t="s">
        <v>175</v>
      </c>
      <c r="B4" s="23">
        <v>300000</v>
      </c>
    </row>
    <row r="5" spans="1:5">
      <c r="A5" t="s">
        <v>119</v>
      </c>
      <c r="B5" s="23">
        <f>B3*B4</f>
        <v>1215000000</v>
      </c>
    </row>
    <row r="6" spans="1:5">
      <c r="A6" t="s">
        <v>176</v>
      </c>
      <c r="B6" s="2">
        <v>2.5000000000000001E-2</v>
      </c>
    </row>
    <row r="7" spans="1:5">
      <c r="A7" t="s">
        <v>177</v>
      </c>
      <c r="B7" s="53">
        <f>B4*B6</f>
        <v>7500</v>
      </c>
    </row>
    <row r="8" spans="1:5">
      <c r="B8" s="53"/>
    </row>
    <row r="9" spans="1:5">
      <c r="A9" s="104" t="s">
        <v>90</v>
      </c>
      <c r="B9" s="103">
        <v>225</v>
      </c>
      <c r="C9" s="73" t="s">
        <v>28</v>
      </c>
    </row>
    <row r="10" spans="1:5">
      <c r="A10" s="104"/>
      <c r="B10" s="103"/>
      <c r="C10" s="73"/>
    </row>
    <row r="11" spans="1:5">
      <c r="A11" s="65" t="s">
        <v>89</v>
      </c>
      <c r="B11" s="63"/>
      <c r="C11" s="73" t="s">
        <v>97</v>
      </c>
      <c r="E11" t="s">
        <v>41</v>
      </c>
    </row>
    <row r="12" spans="1:5">
      <c r="A12" s="32" t="s">
        <v>86</v>
      </c>
      <c r="B12" s="64">
        <v>40</v>
      </c>
      <c r="C12" s="74">
        <f>B12*12</f>
        <v>480</v>
      </c>
    </row>
    <row r="13" spans="1:5">
      <c r="A13" s="32" t="s">
        <v>87</v>
      </c>
      <c r="B13" s="63">
        <v>25</v>
      </c>
      <c r="C13" s="75">
        <f>B13*12</f>
        <v>300</v>
      </c>
    </row>
    <row r="14" spans="1:5">
      <c r="A14" s="32" t="s">
        <v>88</v>
      </c>
      <c r="B14" s="63">
        <v>15</v>
      </c>
      <c r="C14" s="75">
        <f>B14*12</f>
        <v>180</v>
      </c>
    </row>
    <row r="15" spans="1:5">
      <c r="A15" t="s">
        <v>96</v>
      </c>
      <c r="B15" s="63">
        <v>100</v>
      </c>
      <c r="C15" s="75">
        <f>B15*1</f>
        <v>100</v>
      </c>
    </row>
    <row r="16" spans="1:5">
      <c r="B16" s="63"/>
      <c r="C16" s="75">
        <f>SUM(C12:C15)</f>
        <v>1060</v>
      </c>
    </row>
    <row r="17" spans="1:23">
      <c r="B17" s="63"/>
      <c r="C17" s="75"/>
    </row>
    <row r="18" spans="1:23">
      <c r="A18" t="s">
        <v>40</v>
      </c>
      <c r="B18" s="121">
        <v>0.06</v>
      </c>
      <c r="C18" s="75"/>
      <c r="E18" t="s">
        <v>42</v>
      </c>
    </row>
    <row r="19" spans="1:23">
      <c r="B19" s="63"/>
      <c r="C19" s="75"/>
    </row>
    <row r="20" spans="1:23">
      <c r="A20" t="s">
        <v>179</v>
      </c>
      <c r="B20" t="s">
        <v>184</v>
      </c>
      <c r="C20">
        <v>500</v>
      </c>
    </row>
    <row r="21" spans="1:23" s="51" customFormat="1" ht="26">
      <c r="B21" s="52" t="s">
        <v>121</v>
      </c>
      <c r="C21" s="52" t="s">
        <v>122</v>
      </c>
      <c r="D21" s="52" t="s">
        <v>123</v>
      </c>
      <c r="E21" s="52" t="s">
        <v>124</v>
      </c>
      <c r="F21" s="52" t="s">
        <v>125</v>
      </c>
      <c r="G21" s="52" t="s">
        <v>126</v>
      </c>
      <c r="H21" s="52" t="s">
        <v>33</v>
      </c>
      <c r="I21" s="52" t="s">
        <v>43</v>
      </c>
      <c r="J21" s="52" t="s">
        <v>44</v>
      </c>
      <c r="K21" s="52" t="s">
        <v>56</v>
      </c>
      <c r="L21" s="52" t="s">
        <v>45</v>
      </c>
      <c r="M21" s="52" t="s">
        <v>46</v>
      </c>
      <c r="N21" s="52" t="s">
        <v>128</v>
      </c>
      <c r="O21" s="52" t="s">
        <v>129</v>
      </c>
      <c r="P21" s="52" t="s">
        <v>47</v>
      </c>
      <c r="Q21" s="52" t="s">
        <v>48</v>
      </c>
      <c r="R21" s="52" t="s">
        <v>99</v>
      </c>
      <c r="S21" s="52" t="s">
        <v>115</v>
      </c>
      <c r="T21" s="52" t="s">
        <v>116</v>
      </c>
      <c r="U21" s="52" t="s">
        <v>117</v>
      </c>
      <c r="V21" s="51" t="s">
        <v>100</v>
      </c>
      <c r="W21" s="51" t="s">
        <v>101</v>
      </c>
    </row>
    <row r="22" spans="1:23">
      <c r="A22" t="s">
        <v>180</v>
      </c>
      <c r="B22" s="3">
        <v>0.9</v>
      </c>
      <c r="C22">
        <f>ROUND(35*1,0)</f>
        <v>35</v>
      </c>
      <c r="D22" s="3">
        <v>0.1</v>
      </c>
      <c r="E22">
        <f>$C$20*D22</f>
        <v>50</v>
      </c>
      <c r="F22">
        <f>C22*E22</f>
        <v>1750</v>
      </c>
      <c r="G22" s="35">
        <f>F22/$B$3</f>
        <v>0.43209876543209874</v>
      </c>
      <c r="H22" s="23">
        <f>F22*$B$7</f>
        <v>13125000</v>
      </c>
      <c r="I22" s="23">
        <f>H22/E22</f>
        <v>262500</v>
      </c>
      <c r="J22" s="23">
        <f>H22*$B$18</f>
        <v>787500</v>
      </c>
      <c r="K22" s="23">
        <f>J22/E22</f>
        <v>15750</v>
      </c>
      <c r="L22" s="23">
        <f>H22-J22</f>
        <v>12337500</v>
      </c>
      <c r="M22" s="23">
        <f>L22/E22</f>
        <v>246750</v>
      </c>
      <c r="N22" s="44">
        <f>L22*(1-B22)</f>
        <v>1233749.9999999998</v>
      </c>
      <c r="O22" s="45">
        <f>N22/E22</f>
        <v>24674.999999999996</v>
      </c>
      <c r="P22" s="45">
        <f>$B$9*F22</f>
        <v>393750</v>
      </c>
      <c r="Q22" s="45">
        <f>$C$16*E22</f>
        <v>53000</v>
      </c>
      <c r="R22" s="129">
        <v>0.1</v>
      </c>
      <c r="S22">
        <f>ROUND(F22*R22,0)</f>
        <v>175</v>
      </c>
      <c r="T22" s="14">
        <v>0.25</v>
      </c>
      <c r="U22" s="23">
        <f>ROUNDUP(T22*S22*$B$7,0)</f>
        <v>328125</v>
      </c>
      <c r="V22">
        <f>ROUNDUP(((R22*F22)/E22),0)</f>
        <v>4</v>
      </c>
      <c r="W22" s="53">
        <f>$B$7*T22*V22</f>
        <v>7500</v>
      </c>
    </row>
    <row r="23" spans="1:23">
      <c r="A23" t="s">
        <v>181</v>
      </c>
      <c r="B23" s="3">
        <v>0.8</v>
      </c>
      <c r="C23" s="100">
        <v>13</v>
      </c>
      <c r="D23" s="3">
        <v>0.2</v>
      </c>
      <c r="E23">
        <f t="shared" ref="E23:E25" si="0">$C$20*D23</f>
        <v>100</v>
      </c>
      <c r="F23">
        <f t="shared" ref="F23:F25" si="1">C23*E23</f>
        <v>1300</v>
      </c>
      <c r="G23" s="35">
        <f t="shared" ref="G23:G26" si="2">F23/$B$3</f>
        <v>0.32098765432098764</v>
      </c>
      <c r="H23" s="23">
        <f t="shared" ref="H23:H25" si="3">F23*$B$7</f>
        <v>9750000</v>
      </c>
      <c r="I23" s="23">
        <f t="shared" ref="I23:I26" si="4">H23/E23</f>
        <v>97500</v>
      </c>
      <c r="J23" s="23">
        <f t="shared" ref="J23:J25" si="5">H23*$B$18</f>
        <v>585000</v>
      </c>
      <c r="K23" s="23">
        <f t="shared" ref="K23:K25" si="6">J23/E23</f>
        <v>5850</v>
      </c>
      <c r="L23" s="23">
        <f t="shared" ref="L23:L25" si="7">H23-J23</f>
        <v>9165000</v>
      </c>
      <c r="M23" s="23">
        <f t="shared" ref="M23:M25" si="8">L23/E23</f>
        <v>91650</v>
      </c>
      <c r="N23" s="44">
        <f t="shared" ref="N23:N25" si="9">L23*(1-B23)</f>
        <v>1832999.9999999995</v>
      </c>
      <c r="O23" s="45">
        <f t="shared" ref="O23:O25" si="10">N23/E23</f>
        <v>18329.999999999996</v>
      </c>
      <c r="P23" s="45">
        <f t="shared" ref="P23:P25" si="11">$B$9*F23</f>
        <v>292500</v>
      </c>
      <c r="Q23" s="45">
        <f t="shared" ref="Q23:Q25" si="12">$C$16*E23</f>
        <v>106000</v>
      </c>
      <c r="R23" s="129">
        <v>0.25</v>
      </c>
      <c r="S23">
        <f t="shared" ref="S23:S25" si="13">ROUND(F23*R23,0)</f>
        <v>325</v>
      </c>
      <c r="T23" s="14">
        <v>0.25</v>
      </c>
      <c r="U23" s="23">
        <f t="shared" ref="U23:U25" si="14">ROUNDUP(T23*S23*$B$7,0)</f>
        <v>609375</v>
      </c>
      <c r="V23">
        <f t="shared" ref="V23:V25" si="15">ROUNDUP(((R23*F23)/E23),0)</f>
        <v>4</v>
      </c>
      <c r="W23" s="53">
        <f t="shared" ref="W23:W25" si="16">$B$7*T23*V23</f>
        <v>7500</v>
      </c>
    </row>
    <row r="24" spans="1:23">
      <c r="A24" t="s">
        <v>182</v>
      </c>
      <c r="B24" s="3">
        <v>0.7</v>
      </c>
      <c r="C24" s="100">
        <v>4</v>
      </c>
      <c r="D24" s="3">
        <v>0.3</v>
      </c>
      <c r="E24">
        <f t="shared" si="0"/>
        <v>150</v>
      </c>
      <c r="F24">
        <f t="shared" si="1"/>
        <v>600</v>
      </c>
      <c r="G24" s="35">
        <f t="shared" si="2"/>
        <v>0.14814814814814814</v>
      </c>
      <c r="H24" s="23">
        <f t="shared" si="3"/>
        <v>4500000</v>
      </c>
      <c r="I24" s="23">
        <f t="shared" si="4"/>
        <v>30000</v>
      </c>
      <c r="J24" s="23">
        <f t="shared" si="5"/>
        <v>270000</v>
      </c>
      <c r="K24" s="23">
        <f t="shared" si="6"/>
        <v>1800</v>
      </c>
      <c r="L24" s="23">
        <f t="shared" si="7"/>
        <v>4230000</v>
      </c>
      <c r="M24" s="23">
        <f t="shared" si="8"/>
        <v>28200</v>
      </c>
      <c r="N24" s="44">
        <f t="shared" si="9"/>
        <v>1269000.0000000002</v>
      </c>
      <c r="O24" s="45">
        <f t="shared" si="10"/>
        <v>8460.0000000000018</v>
      </c>
      <c r="P24" s="45">
        <f t="shared" si="11"/>
        <v>135000</v>
      </c>
      <c r="Q24" s="45">
        <f t="shared" si="12"/>
        <v>159000</v>
      </c>
      <c r="R24" s="129">
        <v>0.5</v>
      </c>
      <c r="S24">
        <f t="shared" si="13"/>
        <v>300</v>
      </c>
      <c r="T24" s="14">
        <v>0.25</v>
      </c>
      <c r="U24" s="23">
        <f t="shared" si="14"/>
        <v>562500</v>
      </c>
      <c r="V24">
        <f t="shared" si="15"/>
        <v>2</v>
      </c>
      <c r="W24" s="53">
        <f t="shared" si="16"/>
        <v>3750</v>
      </c>
    </row>
    <row r="25" spans="1:23">
      <c r="A25" t="s">
        <v>183</v>
      </c>
      <c r="B25" s="3">
        <v>0.7</v>
      </c>
      <c r="C25" s="101">
        <v>2</v>
      </c>
      <c r="D25" s="9">
        <v>0.4</v>
      </c>
      <c r="E25" s="8">
        <f t="shared" si="0"/>
        <v>200</v>
      </c>
      <c r="F25" s="8">
        <f t="shared" si="1"/>
        <v>400</v>
      </c>
      <c r="G25" s="10">
        <f t="shared" si="2"/>
        <v>9.8765432098765427E-2</v>
      </c>
      <c r="H25" s="16">
        <f t="shared" si="3"/>
        <v>3000000</v>
      </c>
      <c r="I25" s="16">
        <f t="shared" si="4"/>
        <v>15000</v>
      </c>
      <c r="J25" s="16">
        <f t="shared" si="5"/>
        <v>180000</v>
      </c>
      <c r="K25" s="16">
        <f t="shared" si="6"/>
        <v>900</v>
      </c>
      <c r="L25" s="16">
        <f t="shared" si="7"/>
        <v>2820000</v>
      </c>
      <c r="M25" s="16">
        <f t="shared" si="8"/>
        <v>14100</v>
      </c>
      <c r="N25" s="34">
        <f t="shared" si="9"/>
        <v>846000.00000000012</v>
      </c>
      <c r="O25" s="12">
        <f t="shared" si="10"/>
        <v>4230.0000000000009</v>
      </c>
      <c r="P25" s="12">
        <f t="shared" si="11"/>
        <v>90000</v>
      </c>
      <c r="Q25" s="12">
        <f t="shared" si="12"/>
        <v>212000</v>
      </c>
      <c r="R25" s="130">
        <v>0.75</v>
      </c>
      <c r="S25" s="8">
        <f t="shared" si="13"/>
        <v>300</v>
      </c>
      <c r="T25" s="50">
        <v>0.25</v>
      </c>
      <c r="U25" s="16">
        <f t="shared" si="14"/>
        <v>562500</v>
      </c>
      <c r="V25" s="8">
        <f t="shared" si="15"/>
        <v>2</v>
      </c>
      <c r="W25" s="59">
        <f t="shared" si="16"/>
        <v>3750</v>
      </c>
    </row>
    <row r="26" spans="1:23">
      <c r="A26" t="s">
        <v>158</v>
      </c>
      <c r="D26" s="3">
        <f>SUM(D22:D25)</f>
        <v>1</v>
      </c>
      <c r="E26">
        <f>SUM(E22:E25)</f>
        <v>500</v>
      </c>
      <c r="F26">
        <f>SUM(F22:F25)</f>
        <v>4050</v>
      </c>
      <c r="G26" s="35">
        <f t="shared" si="2"/>
        <v>1</v>
      </c>
      <c r="H26" s="92">
        <f>SUM(H22:H25)</f>
        <v>30375000</v>
      </c>
      <c r="I26" s="23">
        <f t="shared" si="4"/>
        <v>60750</v>
      </c>
      <c r="J26" s="23">
        <f>SUM(J22:J25)</f>
        <v>1822500</v>
      </c>
      <c r="K26" s="23"/>
      <c r="L26" s="92">
        <f>SUM(L22:L25)</f>
        <v>28552500</v>
      </c>
      <c r="M26" s="23"/>
      <c r="N26" s="18">
        <f>SUM(N22:N25)</f>
        <v>5181749.9999999991</v>
      </c>
      <c r="O26" s="23"/>
      <c r="P26" s="105">
        <f>SUM(P22:P25)</f>
        <v>911250</v>
      </c>
      <c r="Q26" s="105">
        <f>SUM(Q22:Q25)</f>
        <v>530000</v>
      </c>
      <c r="S26">
        <f>SUM(S22:S25)</f>
        <v>1100</v>
      </c>
      <c r="U26" s="58">
        <f>SUM(U22:U25)</f>
        <v>2062500</v>
      </c>
    </row>
    <row r="28" spans="1:23">
      <c r="A28" t="s">
        <v>49</v>
      </c>
      <c r="C28" s="122">
        <f>N26</f>
        <v>5181749.9999999991</v>
      </c>
    </row>
    <row r="29" spans="1:23">
      <c r="C29" s="120">
        <f>C28/H26</f>
        <v>0.17059259259259257</v>
      </c>
    </row>
    <row r="30" spans="1:23">
      <c r="A30" t="s">
        <v>50</v>
      </c>
      <c r="C30" s="45">
        <f>P26+Q26</f>
        <v>1441250</v>
      </c>
    </row>
    <row r="31" spans="1:23">
      <c r="C31" s="120">
        <f>C30/H26</f>
        <v>4.744855967078189E-2</v>
      </c>
    </row>
    <row r="32" spans="1:23">
      <c r="A32" t="s">
        <v>51</v>
      </c>
      <c r="C32" s="122">
        <f>U26</f>
        <v>2062500</v>
      </c>
    </row>
    <row r="33" spans="1:4">
      <c r="C33" s="120">
        <f>C32/H26</f>
        <v>6.7901234567901231E-2</v>
      </c>
    </row>
    <row r="34" spans="1:4">
      <c r="A34" s="55" t="s">
        <v>54</v>
      </c>
      <c r="B34" s="55"/>
      <c r="C34" s="127">
        <f>C28+C30+C32</f>
        <v>8685500</v>
      </c>
    </row>
    <row r="35" spans="1:4">
      <c r="C35" s="120">
        <f>C34/H26</f>
        <v>0.28594238683127571</v>
      </c>
    </row>
    <row r="37" spans="1:4">
      <c r="A37" s="55" t="s">
        <v>55</v>
      </c>
      <c r="B37" t="s">
        <v>113</v>
      </c>
    </row>
    <row r="39" spans="1:4">
      <c r="A39" s="54" t="s">
        <v>130</v>
      </c>
    </row>
    <row r="41" spans="1:4">
      <c r="A41" t="s">
        <v>186</v>
      </c>
      <c r="B41" s="131">
        <f>C41/$H$26</f>
        <v>2.2222222222222223E-2</v>
      </c>
      <c r="C41" s="23">
        <f>'SIM-LG'!C41*0.5</f>
        <v>675000</v>
      </c>
      <c r="D41" t="s">
        <v>57</v>
      </c>
    </row>
    <row r="42" spans="1:4">
      <c r="A42" t="s">
        <v>187</v>
      </c>
      <c r="B42" s="131">
        <f t="shared" ref="B42:B44" si="17">C42/$H$26</f>
        <v>4.4444444444444446E-2</v>
      </c>
      <c r="C42" s="23">
        <f>'SIM-LG'!C42*1</f>
        <v>1350000</v>
      </c>
      <c r="D42" t="s">
        <v>58</v>
      </c>
    </row>
    <row r="43" spans="1:4">
      <c r="A43" t="s">
        <v>108</v>
      </c>
      <c r="B43" s="131">
        <f t="shared" si="17"/>
        <v>6.6666666666666666E-2</v>
      </c>
      <c r="C43" s="23">
        <f>'SIM-LG'!C43*0.75</f>
        <v>2025000</v>
      </c>
      <c r="D43" t="s">
        <v>59</v>
      </c>
    </row>
    <row r="44" spans="1:4">
      <c r="A44" t="s">
        <v>109</v>
      </c>
      <c r="B44" s="131">
        <f t="shared" si="17"/>
        <v>2.2222222222222223E-2</v>
      </c>
      <c r="C44" s="23">
        <f>'SIM-LG'!C44*0.5</f>
        <v>675000</v>
      </c>
      <c r="D44" t="s">
        <v>57</v>
      </c>
    </row>
    <row r="45" spans="1:4">
      <c r="A45" t="s">
        <v>110</v>
      </c>
      <c r="C45" s="18">
        <f>SUM(C41:C44)</f>
        <v>4725000</v>
      </c>
      <c r="D45" s="21"/>
    </row>
    <row r="47" spans="1:4">
      <c r="A47" t="s">
        <v>111</v>
      </c>
      <c r="C47" s="123">
        <f>C34-C45</f>
        <v>3960500</v>
      </c>
    </row>
    <row r="48" spans="1:4">
      <c r="A48" t="s">
        <v>52</v>
      </c>
      <c r="C48" s="20">
        <f>C47/H26</f>
        <v>0.13038683127572018</v>
      </c>
    </row>
    <row r="49" spans="1:8">
      <c r="C49" s="20"/>
      <c r="F49" s="20"/>
      <c r="H49" s="55" t="s">
        <v>53</v>
      </c>
    </row>
    <row r="50" spans="1:8">
      <c r="A50" t="s">
        <v>137</v>
      </c>
      <c r="C50" s="126">
        <f>M22</f>
        <v>246750</v>
      </c>
      <c r="D50" s="45">
        <f>P22/E22</f>
        <v>7875</v>
      </c>
      <c r="E50" s="45">
        <f>Q22/E22</f>
        <v>1060</v>
      </c>
      <c r="F50" s="93">
        <f>W22</f>
        <v>7500</v>
      </c>
      <c r="H50" s="125">
        <f>C50-D50-E50-F50</f>
        <v>230315</v>
      </c>
    </row>
    <row r="51" spans="1:8">
      <c r="A51" t="s">
        <v>138</v>
      </c>
      <c r="C51" s="126">
        <f t="shared" ref="C51:C52" si="18">M23</f>
        <v>91650</v>
      </c>
      <c r="D51" s="45">
        <f t="shared" ref="D51:D53" si="19">P23/E23</f>
        <v>2925</v>
      </c>
      <c r="E51" s="45">
        <f t="shared" ref="E51:E53" si="20">Q23/E23</f>
        <v>1060</v>
      </c>
      <c r="F51" s="124">
        <f t="shared" ref="F51:F53" si="21">W23</f>
        <v>7500</v>
      </c>
      <c r="H51" s="125">
        <f t="shared" ref="H51:H53" si="22">C51-D51-E51-F51</f>
        <v>80165</v>
      </c>
    </row>
    <row r="52" spans="1:8">
      <c r="A52" t="s">
        <v>139</v>
      </c>
      <c r="C52" s="126">
        <f t="shared" si="18"/>
        <v>28200</v>
      </c>
      <c r="D52" s="45">
        <f t="shared" si="19"/>
        <v>900</v>
      </c>
      <c r="E52" s="45">
        <f t="shared" si="20"/>
        <v>1060</v>
      </c>
      <c r="F52" s="124">
        <f t="shared" si="21"/>
        <v>3750</v>
      </c>
      <c r="H52" s="125">
        <f t="shared" si="22"/>
        <v>22490</v>
      </c>
    </row>
    <row r="53" spans="1:8">
      <c r="A53" t="s">
        <v>140</v>
      </c>
      <c r="C53" s="126">
        <f>M25</f>
        <v>14100</v>
      </c>
      <c r="D53" s="45">
        <f t="shared" si="19"/>
        <v>450</v>
      </c>
      <c r="E53" s="45">
        <f t="shared" si="20"/>
        <v>1060</v>
      </c>
      <c r="F53" s="124">
        <f t="shared" si="21"/>
        <v>3750</v>
      </c>
      <c r="H53" s="125">
        <f t="shared" si="22"/>
        <v>8840</v>
      </c>
    </row>
    <row r="54" spans="1:8">
      <c r="C54" s="20"/>
      <c r="F54" s="20"/>
    </row>
  </sheetData>
  <phoneticPr fontId="8" type="noConversion"/>
  <pageMargins left="0.75" right="0.75" top="1" bottom="1" header="0.5" footer="0.5"/>
  <pageSetup orientation="portrait" horizontalDpi="4294967292" verticalDpi="4294967292"/>
  <headerFooter>
    <oddFooter>&amp;L&amp;A&amp;C&amp;"Verdana,Bold"Copyright 2009, 7DS Associates_x000D_www.7dsassociates.com&amp;RPage &amp;P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R72"/>
  <sheetViews>
    <sheetView topLeftCell="A35" workbookViewId="0">
      <selection activeCell="C2" sqref="C2"/>
    </sheetView>
  </sheetViews>
  <sheetFormatPr baseColWidth="10" defaultRowHeight="13"/>
  <cols>
    <col min="1" max="1" width="19.85546875" customWidth="1"/>
    <col min="2" max="2" width="13.42578125" customWidth="1"/>
    <col min="3" max="3" width="12.42578125" style="73" customWidth="1"/>
    <col min="4" max="4" width="10.42578125" customWidth="1"/>
    <col min="5" max="5" width="11.28515625" customWidth="1"/>
    <col min="6" max="6" width="9.85546875" customWidth="1"/>
    <col min="7" max="7" width="10.7109375" customWidth="1"/>
    <col min="8" max="8" width="11" customWidth="1"/>
    <col min="9" max="9" width="8.7109375" customWidth="1"/>
    <col min="10" max="10" width="10.7109375" customWidth="1"/>
    <col min="11" max="11" width="7.5703125" customWidth="1"/>
    <col min="12" max="12" width="11.7109375" customWidth="1"/>
    <col min="13" max="13" width="10.5703125" customWidth="1"/>
    <col min="14" max="15" width="10.42578125" customWidth="1"/>
    <col min="16" max="16" width="11.7109375" customWidth="1"/>
    <col min="20" max="20" width="9.28515625" customWidth="1"/>
  </cols>
  <sheetData>
    <row r="1" spans="1:5">
      <c r="A1" s="19" t="s">
        <v>77</v>
      </c>
    </row>
    <row r="3" spans="1:5">
      <c r="A3" t="s">
        <v>178</v>
      </c>
      <c r="B3" s="49">
        <f>SUM(F30:F33)</f>
        <v>4050</v>
      </c>
    </row>
    <row r="4" spans="1:5">
      <c r="A4" t="s">
        <v>175</v>
      </c>
      <c r="B4" s="23">
        <v>300000</v>
      </c>
    </row>
    <row r="5" spans="1:5">
      <c r="A5" t="s">
        <v>119</v>
      </c>
      <c r="B5" s="23">
        <f>B3*B4</f>
        <v>1215000000</v>
      </c>
    </row>
    <row r="6" spans="1:5">
      <c r="A6" t="s">
        <v>176</v>
      </c>
      <c r="B6" s="2">
        <v>2.5000000000000001E-2</v>
      </c>
    </row>
    <row r="7" spans="1:5">
      <c r="A7" t="s">
        <v>177</v>
      </c>
      <c r="B7" s="53">
        <f>B4*B6</f>
        <v>7500</v>
      </c>
    </row>
    <row r="9" spans="1:5">
      <c r="A9" s="8" t="s">
        <v>95</v>
      </c>
    </row>
    <row r="10" spans="1:5">
      <c r="A10" s="28" t="s">
        <v>91</v>
      </c>
      <c r="B10" s="14">
        <v>0.3</v>
      </c>
    </row>
    <row r="11" spans="1:5">
      <c r="A11" s="28" t="s">
        <v>84</v>
      </c>
      <c r="B11" s="63">
        <v>22000</v>
      </c>
    </row>
    <row r="12" spans="1:5">
      <c r="A12" s="28" t="s">
        <v>82</v>
      </c>
      <c r="B12" s="3">
        <v>0.06</v>
      </c>
    </row>
    <row r="13" spans="1:5">
      <c r="A13" s="28" t="s">
        <v>83</v>
      </c>
      <c r="B13" s="63">
        <v>3000</v>
      </c>
    </row>
    <row r="14" spans="1:5">
      <c r="B14" s="63"/>
    </row>
    <row r="15" spans="1:5">
      <c r="A15" s="66" t="s">
        <v>90</v>
      </c>
      <c r="B15" s="103">
        <v>225</v>
      </c>
    </row>
    <row r="16" spans="1:5">
      <c r="A16" s="28"/>
      <c r="B16" s="63"/>
      <c r="E16" s="57"/>
    </row>
    <row r="17" spans="1:18">
      <c r="A17" s="28"/>
      <c r="B17" s="63"/>
      <c r="E17" s="57"/>
    </row>
    <row r="18" spans="1:18">
      <c r="A18" s="65" t="s">
        <v>89</v>
      </c>
      <c r="B18" s="63"/>
      <c r="C18" s="73" t="s">
        <v>97</v>
      </c>
    </row>
    <row r="19" spans="1:18">
      <c r="A19" s="32" t="s">
        <v>86</v>
      </c>
      <c r="B19" s="64">
        <v>40</v>
      </c>
      <c r="C19" s="74">
        <f>B19*12</f>
        <v>480</v>
      </c>
    </row>
    <row r="20" spans="1:18">
      <c r="A20" s="32" t="s">
        <v>87</v>
      </c>
      <c r="B20" s="63">
        <v>25</v>
      </c>
      <c r="C20" s="75">
        <f>B20*12</f>
        <v>300</v>
      </c>
    </row>
    <row r="21" spans="1:18">
      <c r="A21" s="32" t="s">
        <v>88</v>
      </c>
      <c r="B21" s="63">
        <v>15</v>
      </c>
      <c r="C21" s="75">
        <f>B21*12</f>
        <v>180</v>
      </c>
    </row>
    <row r="22" spans="1:18">
      <c r="A22" t="s">
        <v>96</v>
      </c>
      <c r="B22" s="63">
        <v>100</v>
      </c>
      <c r="C22" s="128">
        <f>B22*1</f>
        <v>100</v>
      </c>
    </row>
    <row r="23" spans="1:18">
      <c r="B23" s="63"/>
      <c r="C23" s="75">
        <f>SUM(C19:C22)</f>
        <v>1060</v>
      </c>
    </row>
    <row r="25" spans="1:18">
      <c r="A25" s="56" t="s">
        <v>131</v>
      </c>
    </row>
    <row r="26" spans="1:18">
      <c r="A26" s="56"/>
    </row>
    <row r="27" spans="1:18">
      <c r="A27" s="67" t="s">
        <v>94</v>
      </c>
      <c r="B27">
        <v>500</v>
      </c>
    </row>
    <row r="29" spans="1:18" s="51" customFormat="1" ht="52">
      <c r="B29" s="52" t="s">
        <v>121</v>
      </c>
      <c r="C29" s="76" t="s">
        <v>122</v>
      </c>
      <c r="D29" s="52" t="s">
        <v>123</v>
      </c>
      <c r="E29" s="52" t="s">
        <v>124</v>
      </c>
      <c r="F29" s="52" t="s">
        <v>125</v>
      </c>
      <c r="G29" s="52" t="s">
        <v>126</v>
      </c>
      <c r="H29" s="52" t="s">
        <v>33</v>
      </c>
      <c r="I29" s="52" t="s">
        <v>127</v>
      </c>
      <c r="J29" s="52" t="s">
        <v>66</v>
      </c>
      <c r="K29" s="52" t="s">
        <v>65</v>
      </c>
      <c r="L29" s="52" t="s">
        <v>30</v>
      </c>
      <c r="M29" s="52" t="s">
        <v>31</v>
      </c>
      <c r="N29" s="52" t="s">
        <v>92</v>
      </c>
      <c r="O29" s="52" t="s">
        <v>93</v>
      </c>
      <c r="P29" s="52" t="s">
        <v>32</v>
      </c>
      <c r="Q29" s="52" t="s">
        <v>64</v>
      </c>
      <c r="R29" s="52" t="s">
        <v>89</v>
      </c>
    </row>
    <row r="30" spans="1:18">
      <c r="A30" t="s">
        <v>180</v>
      </c>
      <c r="B30" s="3">
        <f>1-$B$10</f>
        <v>0.7</v>
      </c>
      <c r="C30" s="73">
        <f>ROUND(35*1,0)</f>
        <v>35</v>
      </c>
      <c r="D30" s="3">
        <v>0.1</v>
      </c>
      <c r="E30">
        <f>$B$27*D30</f>
        <v>50</v>
      </c>
      <c r="F30">
        <f>C30*E30</f>
        <v>1750</v>
      </c>
      <c r="G30" s="35">
        <f>F30/$B$3</f>
        <v>0.43209876543209874</v>
      </c>
      <c r="H30" s="23">
        <f>F30*$B$7</f>
        <v>13125000</v>
      </c>
      <c r="I30" s="23">
        <f>H30/E30</f>
        <v>262500</v>
      </c>
      <c r="J30" s="44">
        <f>K30*E30</f>
        <v>150000</v>
      </c>
      <c r="K30" s="44">
        <f>IF((I30*$B$12)&gt;$B$13,$B$13,(I30*$B$12))</f>
        <v>3000</v>
      </c>
      <c r="L30" s="44">
        <f>H30-J30</f>
        <v>12975000</v>
      </c>
      <c r="M30" s="23">
        <f>L30/E30</f>
        <v>259500</v>
      </c>
      <c r="N30" s="23">
        <f>M30*$B$10</f>
        <v>77850</v>
      </c>
      <c r="O30" s="23">
        <f>IF(N30&gt;$B$11, $B$11, N30)</f>
        <v>22000</v>
      </c>
      <c r="P30" s="44">
        <f>O30*E30</f>
        <v>1100000</v>
      </c>
      <c r="Q30" s="70">
        <f>F30*$B$15</f>
        <v>393750</v>
      </c>
      <c r="R30" s="99">
        <f>$C$23*E30</f>
        <v>53000</v>
      </c>
    </row>
    <row r="31" spans="1:18">
      <c r="A31" t="s">
        <v>181</v>
      </c>
      <c r="B31" s="3">
        <f t="shared" ref="B31:B33" si="0">1-$B$10</f>
        <v>0.7</v>
      </c>
      <c r="C31" s="100">
        <v>13</v>
      </c>
      <c r="D31" s="3">
        <v>0.2</v>
      </c>
      <c r="E31">
        <f>$B$27*D31</f>
        <v>100</v>
      </c>
      <c r="F31">
        <f t="shared" ref="F31:F33" si="1">C31*E31</f>
        <v>1300</v>
      </c>
      <c r="G31" s="35">
        <f t="shared" ref="G31:G34" si="2">F31/$B$3</f>
        <v>0.32098765432098764</v>
      </c>
      <c r="H31" s="23">
        <f t="shared" ref="H31:H33" si="3">F31*$B$7</f>
        <v>9750000</v>
      </c>
      <c r="I31" s="23">
        <f t="shared" ref="I31:I34" si="4">H31/E31</f>
        <v>97500</v>
      </c>
      <c r="J31" s="44">
        <f>K31*E31</f>
        <v>300000</v>
      </c>
      <c r="K31" s="44">
        <f>IF((I31*$B$12)&gt;$B$13,$B$13,(I31*$B$12))</f>
        <v>3000</v>
      </c>
      <c r="L31" s="44">
        <f t="shared" ref="L31:L33" si="5">H31-J31</f>
        <v>9450000</v>
      </c>
      <c r="M31" s="23">
        <f t="shared" ref="M31:M34" si="6">L31/E31</f>
        <v>94500</v>
      </c>
      <c r="N31" s="23">
        <f t="shared" ref="N31:N34" si="7">M31*$B$10</f>
        <v>28350</v>
      </c>
      <c r="O31" s="23">
        <f t="shared" ref="O31:O34" si="8">IF(N31&gt;$B$11, $B$11, N31)</f>
        <v>22000</v>
      </c>
      <c r="P31" s="44">
        <f t="shared" ref="P31:P33" si="9">O31*E31</f>
        <v>2200000</v>
      </c>
      <c r="Q31" s="70">
        <f t="shared" ref="Q31:Q33" si="10">F31*$B$15</f>
        <v>292500</v>
      </c>
      <c r="R31" s="99">
        <f t="shared" ref="R31:R33" si="11">$C$23*E31</f>
        <v>106000</v>
      </c>
    </row>
    <row r="32" spans="1:18">
      <c r="A32" t="s">
        <v>182</v>
      </c>
      <c r="B32" s="3">
        <f t="shared" si="0"/>
        <v>0.7</v>
      </c>
      <c r="C32" s="100">
        <v>4</v>
      </c>
      <c r="D32" s="3">
        <v>0.3</v>
      </c>
      <c r="E32">
        <f>$B$27*D32</f>
        <v>150</v>
      </c>
      <c r="F32">
        <f t="shared" si="1"/>
        <v>600</v>
      </c>
      <c r="G32" s="35">
        <f t="shared" si="2"/>
        <v>0.14814814814814814</v>
      </c>
      <c r="H32" s="23">
        <f t="shared" si="3"/>
        <v>4500000</v>
      </c>
      <c r="I32" s="23">
        <f t="shared" si="4"/>
        <v>30000</v>
      </c>
      <c r="J32" s="44">
        <f>K32*E32</f>
        <v>270000</v>
      </c>
      <c r="K32" s="44">
        <f>IF((I32*$B$12)&gt;$B$13,$B$13,(I32*$B$12))</f>
        <v>1800</v>
      </c>
      <c r="L32" s="44">
        <f t="shared" si="5"/>
        <v>4230000</v>
      </c>
      <c r="M32" s="23">
        <f t="shared" si="6"/>
        <v>28200</v>
      </c>
      <c r="N32" s="23">
        <f t="shared" si="7"/>
        <v>8460</v>
      </c>
      <c r="O32" s="23">
        <f t="shared" si="8"/>
        <v>8460</v>
      </c>
      <c r="P32" s="44">
        <f t="shared" si="9"/>
        <v>1269000</v>
      </c>
      <c r="Q32" s="70">
        <f t="shared" si="10"/>
        <v>135000</v>
      </c>
      <c r="R32" s="99">
        <f t="shared" si="11"/>
        <v>159000</v>
      </c>
    </row>
    <row r="33" spans="1:18">
      <c r="A33" t="s">
        <v>183</v>
      </c>
      <c r="B33" s="3">
        <f t="shared" si="0"/>
        <v>0.7</v>
      </c>
      <c r="C33" s="101">
        <v>2</v>
      </c>
      <c r="D33" s="9">
        <v>0.4</v>
      </c>
      <c r="E33" s="8">
        <f>$B$27*D33</f>
        <v>200</v>
      </c>
      <c r="F33" s="8">
        <f t="shared" si="1"/>
        <v>400</v>
      </c>
      <c r="G33" s="10">
        <f t="shared" si="2"/>
        <v>9.8765432098765427E-2</v>
      </c>
      <c r="H33" s="16">
        <f t="shared" si="3"/>
        <v>3000000</v>
      </c>
      <c r="I33" s="16">
        <f t="shared" si="4"/>
        <v>15000</v>
      </c>
      <c r="J33" s="34">
        <f>K33*E33</f>
        <v>180000</v>
      </c>
      <c r="K33" s="34">
        <f>IF((I33*$B$12)&gt;$B$13,$B$13,(I33*$B$12))</f>
        <v>900</v>
      </c>
      <c r="L33" s="34">
        <f t="shared" si="5"/>
        <v>2820000</v>
      </c>
      <c r="M33" s="16">
        <f t="shared" si="6"/>
        <v>14100</v>
      </c>
      <c r="N33" s="16">
        <f t="shared" si="7"/>
        <v>4230</v>
      </c>
      <c r="O33" s="16">
        <f t="shared" si="8"/>
        <v>4230</v>
      </c>
      <c r="P33" s="34">
        <f t="shared" si="9"/>
        <v>846000</v>
      </c>
      <c r="Q33" s="71">
        <f t="shared" si="10"/>
        <v>90000</v>
      </c>
      <c r="R33" s="68">
        <f t="shared" si="11"/>
        <v>212000</v>
      </c>
    </row>
    <row r="34" spans="1:18">
      <c r="A34" t="s">
        <v>158</v>
      </c>
      <c r="D34" s="3">
        <f>SUM(D30:D33)</f>
        <v>1</v>
      </c>
      <c r="E34">
        <f>SUM(E30:E33)</f>
        <v>500</v>
      </c>
      <c r="F34">
        <f>SUM(F30:F33)</f>
        <v>4050</v>
      </c>
      <c r="G34" s="35">
        <f t="shared" si="2"/>
        <v>1</v>
      </c>
      <c r="H34" s="23">
        <f>SUM(H30:H33)</f>
        <v>30375000</v>
      </c>
      <c r="I34" s="23">
        <f t="shared" si="4"/>
        <v>60750</v>
      </c>
      <c r="J34" s="69">
        <f t="shared" ref="J34" si="12">SUM(J30:J33)</f>
        <v>900000</v>
      </c>
      <c r="L34" s="69">
        <f>SUM(L30:L33)</f>
        <v>29475000</v>
      </c>
      <c r="M34" s="23"/>
      <c r="N34" s="23"/>
      <c r="O34" s="23"/>
      <c r="P34" s="105">
        <f>SUM(P30:P33)</f>
        <v>5415000</v>
      </c>
      <c r="Q34" s="69">
        <f t="shared" ref="Q34:R34" si="13">SUM(Q30:Q33)</f>
        <v>911250</v>
      </c>
      <c r="R34" s="69">
        <f t="shared" si="13"/>
        <v>530000</v>
      </c>
    </row>
    <row r="36" spans="1:18">
      <c r="A36" t="s">
        <v>29</v>
      </c>
      <c r="C36" s="80">
        <f>P34</f>
        <v>5415000</v>
      </c>
    </row>
    <row r="37" spans="1:18">
      <c r="C37" s="106">
        <f>C36/H34</f>
        <v>0.1782716049382716</v>
      </c>
    </row>
    <row r="38" spans="1:18">
      <c r="A38" t="s">
        <v>34</v>
      </c>
      <c r="C38" s="107">
        <f>Q34+R34</f>
        <v>1441250</v>
      </c>
    </row>
    <row r="39" spans="1:18">
      <c r="C39" s="106">
        <f>C38/H34</f>
        <v>4.744855967078189E-2</v>
      </c>
    </row>
    <row r="40" spans="1:18">
      <c r="A40" s="55" t="s">
        <v>35</v>
      </c>
      <c r="C40" s="78">
        <f>SUM(P34:R34)</f>
        <v>6856250</v>
      </c>
      <c r="J40" s="13"/>
      <c r="K40" s="13"/>
      <c r="L40" s="13"/>
      <c r="P40" s="13"/>
    </row>
    <row r="41" spans="1:18">
      <c r="C41" s="79">
        <f>C40/H34</f>
        <v>0.2257201646090535</v>
      </c>
    </row>
    <row r="43" spans="1:18">
      <c r="A43" t="s">
        <v>159</v>
      </c>
      <c r="B43" t="s">
        <v>113</v>
      </c>
    </row>
    <row r="45" spans="1:18">
      <c r="A45" s="54"/>
    </row>
    <row r="46" spans="1:18">
      <c r="A46" t="s">
        <v>186</v>
      </c>
      <c r="B46" s="131">
        <f>C46/$H$34</f>
        <v>2.2222222222222223E-2</v>
      </c>
      <c r="C46" s="81">
        <f>'KD-LG'!C46*0.5</f>
        <v>675000</v>
      </c>
      <c r="D46" t="s">
        <v>60</v>
      </c>
      <c r="P46" s="72"/>
    </row>
    <row r="47" spans="1:18">
      <c r="A47" t="s">
        <v>187</v>
      </c>
      <c r="B47" s="131">
        <f t="shared" ref="B47:B49" ca="1" si="14">C47/$H$34</f>
        <v>4.4444444444444446E-2</v>
      </c>
      <c r="C47" s="81">
        <f ca="1">'KD-LG'!C47*1</f>
        <v>1350000</v>
      </c>
      <c r="D47" t="s">
        <v>61</v>
      </c>
    </row>
    <row r="48" spans="1:18">
      <c r="A48" t="s">
        <v>108</v>
      </c>
      <c r="B48" s="131">
        <f t="shared" si="14"/>
        <v>6.6666666666666666E-2</v>
      </c>
      <c r="C48" s="81">
        <f>'KD-LG'!C48*0.75</f>
        <v>2025000</v>
      </c>
      <c r="D48" t="s">
        <v>62</v>
      </c>
    </row>
    <row r="49" spans="1:4">
      <c r="A49" t="s">
        <v>109</v>
      </c>
      <c r="B49" s="131">
        <f t="shared" si="14"/>
        <v>2.2222222222222223E-2</v>
      </c>
      <c r="C49" s="82">
        <f>'KD-LG'!C49*0.5</f>
        <v>675000</v>
      </c>
      <c r="D49" t="s">
        <v>63</v>
      </c>
    </row>
    <row r="50" spans="1:4">
      <c r="A50" t="s">
        <v>110</v>
      </c>
      <c r="C50" s="83">
        <f ca="1">SUM(C46:C49)</f>
        <v>4725000</v>
      </c>
      <c r="D50" s="21"/>
    </row>
    <row r="52" spans="1:4">
      <c r="A52" t="s">
        <v>70</v>
      </c>
      <c r="C52" s="84">
        <f ca="1">C40-C50</f>
        <v>2131250</v>
      </c>
    </row>
    <row r="53" spans="1:4">
      <c r="A53" t="s">
        <v>114</v>
      </c>
      <c r="C53" s="85">
        <f ca="1">C52/H34</f>
        <v>7.0164609053497945E-2</v>
      </c>
    </row>
    <row r="54" spans="1:4">
      <c r="C54" s="85"/>
    </row>
    <row r="55" spans="1:4">
      <c r="A55" t="s">
        <v>67</v>
      </c>
      <c r="B55" t="s">
        <v>68</v>
      </c>
      <c r="C55" s="86" t="s">
        <v>69</v>
      </c>
    </row>
    <row r="56" spans="1:4">
      <c r="A56" s="57">
        <f>2990*12</f>
        <v>35880</v>
      </c>
      <c r="B56" s="14">
        <v>0.25</v>
      </c>
      <c r="C56" s="87">
        <f ca="1">IF($C$52&gt;A56,A56*B56,0)</f>
        <v>8970</v>
      </c>
      <c r="D56" s="70"/>
    </row>
    <row r="57" spans="1:4">
      <c r="A57" s="57">
        <f>8250*12</f>
        <v>99000</v>
      </c>
      <c r="B57" s="14">
        <v>0.35</v>
      </c>
      <c r="C57" s="87">
        <f t="shared" ref="C57" ca="1" si="15">IF($C$52&gt;A57,A57*B57,0)</f>
        <v>34650</v>
      </c>
      <c r="D57" s="89"/>
    </row>
    <row r="58" spans="1:4">
      <c r="A58" s="57">
        <f ca="1">IF(C52-A56-A57&gt;0,C52-A56-A57,0)</f>
        <v>1996370</v>
      </c>
      <c r="B58" s="14">
        <v>0.5</v>
      </c>
      <c r="C58" s="102">
        <f ca="1">IF($C$52&gt;A58,A58*B58,0)</f>
        <v>998185</v>
      </c>
      <c r="D58" s="90"/>
    </row>
    <row r="59" spans="1:4">
      <c r="C59" s="88">
        <f ca="1">SUM(C56:C58)</f>
        <v>1041805</v>
      </c>
      <c r="D59" s="88"/>
    </row>
    <row r="60" spans="1:4">
      <c r="C60" s="88"/>
      <c r="D60" s="88"/>
    </row>
    <row r="61" spans="1:4">
      <c r="A61" t="s">
        <v>37</v>
      </c>
      <c r="C61" s="133">
        <f ca="1">C59/C36</f>
        <v>0.19239242843951984</v>
      </c>
      <c r="D61" s="88"/>
    </row>
    <row r="62" spans="1:4">
      <c r="C62" s="88"/>
      <c r="D62" s="88"/>
    </row>
    <row r="63" spans="1:4">
      <c r="A63" s="55" t="s">
        <v>71</v>
      </c>
      <c r="C63" s="91">
        <f ca="1">C52-C59</f>
        <v>1089445</v>
      </c>
      <c r="D63" s="88"/>
    </row>
    <row r="64" spans="1:4">
      <c r="A64" t="s">
        <v>114</v>
      </c>
      <c r="C64" s="85">
        <f ca="1">C63/$H$34</f>
        <v>3.5866502057613166E-2</v>
      </c>
      <c r="D64" s="88"/>
    </row>
    <row r="65" spans="1:12">
      <c r="C65" s="88"/>
      <c r="D65" s="88"/>
    </row>
    <row r="66" spans="1:12">
      <c r="C66" s="109"/>
      <c r="D66" s="110" t="s">
        <v>72</v>
      </c>
      <c r="E66" s="110"/>
      <c r="F66" s="110"/>
      <c r="G66" s="110"/>
      <c r="H66" s="110"/>
      <c r="I66" s="111"/>
      <c r="J66" s="111"/>
      <c r="K66" s="111"/>
      <c r="L66" s="112"/>
    </row>
    <row r="67" spans="1:12" s="51" customFormat="1" ht="39">
      <c r="C67" s="113" t="s">
        <v>39</v>
      </c>
      <c r="D67" s="96" t="s">
        <v>38</v>
      </c>
      <c r="E67" s="96" t="s">
        <v>36</v>
      </c>
      <c r="F67" s="96" t="s">
        <v>73</v>
      </c>
      <c r="G67" s="97" t="s">
        <v>74</v>
      </c>
      <c r="H67" s="97" t="s">
        <v>85</v>
      </c>
      <c r="I67" s="97" t="s">
        <v>75</v>
      </c>
      <c r="J67" s="114" t="s">
        <v>76</v>
      </c>
      <c r="K67" s="115"/>
    </row>
    <row r="68" spans="1:12">
      <c r="A68" t="s">
        <v>137</v>
      </c>
      <c r="C68" s="116">
        <f>M30-O30</f>
        <v>237500</v>
      </c>
      <c r="D68" s="117">
        <f>O30</f>
        <v>22000</v>
      </c>
      <c r="E68" s="132">
        <f ca="1">$C$61</f>
        <v>0.19239242843951984</v>
      </c>
      <c r="F68" s="95">
        <f ca="1">D68*E68</f>
        <v>4232.6334256694363</v>
      </c>
      <c r="G68" s="118">
        <f ca="1">F68*E30</f>
        <v>211631.67128347181</v>
      </c>
      <c r="H68" s="98">
        <f>Q30/E30</f>
        <v>7875</v>
      </c>
      <c r="I68" s="99">
        <f>R30/E30</f>
        <v>1060</v>
      </c>
      <c r="J68" s="119">
        <f ca="1">(C68+F68)-(H68+I68)</f>
        <v>232797.63342566942</v>
      </c>
      <c r="K68" s="111"/>
    </row>
    <row r="69" spans="1:12">
      <c r="A69" t="s">
        <v>138</v>
      </c>
      <c r="C69" s="116">
        <f t="shared" ref="C69:C71" si="16">M31-O31</f>
        <v>72500</v>
      </c>
      <c r="D69" s="117">
        <f t="shared" ref="D69:D71" si="17">O31</f>
        <v>22000</v>
      </c>
      <c r="E69" s="132">
        <f t="shared" ref="E69:E71" ca="1" si="18">$C$61</f>
        <v>0.19239242843951984</v>
      </c>
      <c r="F69" s="95">
        <f t="shared" ref="F69:F71" ca="1" si="19">D69*E69</f>
        <v>4232.6334256694363</v>
      </c>
      <c r="G69" s="118">
        <f ca="1">F69*E31</f>
        <v>423263.34256694361</v>
      </c>
      <c r="H69" s="98">
        <f>Q31/E31</f>
        <v>2925</v>
      </c>
      <c r="I69" s="99">
        <f>R31/E31</f>
        <v>1060</v>
      </c>
      <c r="J69" s="119">
        <f t="shared" ref="J69:J71" ca="1" si="20">(C69+F69)-(H69+I69)</f>
        <v>72747.633425669439</v>
      </c>
      <c r="K69" s="111"/>
    </row>
    <row r="70" spans="1:12">
      <c r="A70" t="s">
        <v>139</v>
      </c>
      <c r="C70" s="116">
        <f t="shared" si="16"/>
        <v>19740</v>
      </c>
      <c r="D70" s="117">
        <f t="shared" si="17"/>
        <v>8460</v>
      </c>
      <c r="E70" s="132">
        <f t="shared" ca="1" si="18"/>
        <v>0.19239242843951984</v>
      </c>
      <c r="F70" s="95">
        <f t="shared" ca="1" si="19"/>
        <v>1627.6399445983379</v>
      </c>
      <c r="G70" s="118">
        <f ca="1">F70*E32</f>
        <v>244145.99168975069</v>
      </c>
      <c r="H70" s="98">
        <f>Q32/E32</f>
        <v>900</v>
      </c>
      <c r="I70" s="99">
        <f>R32/E32</f>
        <v>1060</v>
      </c>
      <c r="J70" s="119">
        <f t="shared" ca="1" si="20"/>
        <v>19407.639944598337</v>
      </c>
      <c r="K70" s="111"/>
    </row>
    <row r="71" spans="1:12">
      <c r="A71" t="s">
        <v>140</v>
      </c>
      <c r="C71" s="116">
        <f t="shared" si="16"/>
        <v>9870</v>
      </c>
      <c r="D71" s="117">
        <f t="shared" si="17"/>
        <v>4230</v>
      </c>
      <c r="E71" s="132">
        <f t="shared" ca="1" si="18"/>
        <v>0.19239242843951984</v>
      </c>
      <c r="F71" s="95">
        <f t="shared" ca="1" si="19"/>
        <v>813.81997229916897</v>
      </c>
      <c r="G71" s="118">
        <f ca="1">F71*E33</f>
        <v>162763.9944598338</v>
      </c>
      <c r="H71" s="98">
        <f>Q33/E33</f>
        <v>450</v>
      </c>
      <c r="I71" s="99">
        <f>R33/E33</f>
        <v>1060</v>
      </c>
      <c r="J71" s="119">
        <f t="shared" ca="1" si="20"/>
        <v>9173.8199722991685</v>
      </c>
      <c r="K71" s="111"/>
    </row>
    <row r="72" spans="1:12">
      <c r="C72" s="109"/>
      <c r="D72" s="111"/>
      <c r="E72" s="111"/>
      <c r="F72" s="111"/>
      <c r="G72" s="118">
        <f ca="1">SUM(G68:G71)</f>
        <v>1041804.9999999999</v>
      </c>
      <c r="H72" s="111"/>
      <c r="I72" s="111"/>
      <c r="J72" s="111"/>
      <c r="K72" s="112"/>
      <c r="L72" s="111"/>
    </row>
  </sheetData>
  <phoneticPr fontId="8" type="noConversion"/>
  <pageMargins left="0.75" right="0.75" top="1" bottom="1" header="0.5" footer="0.5"/>
  <pageSetup orientation="portrait" horizontalDpi="4294967292" verticalDpi="4294967292"/>
  <headerFooter>
    <oddFooter>&amp;L&amp;A&amp;C&amp;"Verdana,Bold"Copyright 2009, 7DS Associates_x000D_www.7dsassociates.com&amp;RPage &amp;P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G71"/>
  <sheetViews>
    <sheetView topLeftCell="A33" workbookViewId="0">
      <selection activeCell="C2" sqref="C2"/>
    </sheetView>
  </sheetViews>
  <sheetFormatPr baseColWidth="10" defaultRowHeight="13"/>
  <cols>
    <col min="1" max="1" width="23" customWidth="1"/>
    <col min="2" max="2" width="13.140625" customWidth="1"/>
    <col min="3" max="3" width="14.5703125" customWidth="1"/>
    <col min="4" max="4" width="13.5703125" customWidth="1"/>
    <col min="8" max="8" width="12.42578125" customWidth="1"/>
    <col min="10" max="10" width="12.140625" customWidth="1"/>
  </cols>
  <sheetData>
    <row r="1" spans="1:5">
      <c r="A1" s="19" t="s">
        <v>118</v>
      </c>
    </row>
    <row r="3" spans="1:5">
      <c r="A3" t="s">
        <v>178</v>
      </c>
      <c r="C3" s="33">
        <f>'SIM-Mid'!B3</f>
        <v>1215</v>
      </c>
    </row>
    <row r="4" spans="1:5">
      <c r="A4" t="s">
        <v>175</v>
      </c>
      <c r="C4" s="23">
        <v>300000</v>
      </c>
    </row>
    <row r="5" spans="1:5">
      <c r="A5" t="s">
        <v>119</v>
      </c>
      <c r="C5" s="23">
        <f>C3*C4</f>
        <v>364500000</v>
      </c>
    </row>
    <row r="6" spans="1:5">
      <c r="A6" t="s">
        <v>176</v>
      </c>
      <c r="C6" s="2">
        <v>2.5000000000000001E-2</v>
      </c>
    </row>
    <row r="7" spans="1:5">
      <c r="A7" t="s">
        <v>177</v>
      </c>
      <c r="C7" s="23">
        <f>C4*C6</f>
        <v>7500</v>
      </c>
    </row>
    <row r="9" spans="1:5">
      <c r="A9" s="55" t="s">
        <v>131</v>
      </c>
      <c r="C9" s="44"/>
      <c r="D9" t="s">
        <v>153</v>
      </c>
      <c r="E9" t="s">
        <v>141</v>
      </c>
    </row>
    <row r="10" spans="1:5">
      <c r="A10" s="28" t="s">
        <v>155</v>
      </c>
      <c r="B10" s="35">
        <f>C10/C3</f>
        <v>0.33333333333333331</v>
      </c>
      <c r="C10" s="33">
        <f>ROUND(C3/3,0)</f>
        <v>405</v>
      </c>
      <c r="D10">
        <v>60</v>
      </c>
      <c r="E10" s="46">
        <f>ROUNDUP(C10/D10,0)</f>
        <v>7</v>
      </c>
    </row>
    <row r="11" spans="1:5">
      <c r="A11" s="28" t="s">
        <v>157</v>
      </c>
      <c r="C11" s="37">
        <f>C10*C7</f>
        <v>3037500</v>
      </c>
    </row>
    <row r="12" spans="1:5">
      <c r="A12" s="28" t="s">
        <v>154</v>
      </c>
      <c r="B12" s="35">
        <f>C12/C3</f>
        <v>0.66666666666666663</v>
      </c>
      <c r="C12" s="33">
        <f>C3-C10</f>
        <v>810</v>
      </c>
    </row>
    <row r="13" spans="1:5" ht="14" thickBot="1">
      <c r="A13" s="28" t="s">
        <v>156</v>
      </c>
      <c r="C13" s="41">
        <f>C12*C7</f>
        <v>6075000</v>
      </c>
    </row>
    <row r="14" spans="1:5">
      <c r="A14" s="38" t="s">
        <v>158</v>
      </c>
      <c r="B14" s="39"/>
      <c r="C14" s="48">
        <f>C11+C13</f>
        <v>9112500</v>
      </c>
    </row>
    <row r="15" spans="1:5">
      <c r="A15" s="28"/>
      <c r="C15" s="46"/>
    </row>
    <row r="16" spans="1:5">
      <c r="A16" s="56" t="s">
        <v>132</v>
      </c>
    </row>
    <row r="17" spans="1:7">
      <c r="A17" s="28" t="s">
        <v>160</v>
      </c>
      <c r="C17" s="14">
        <v>0.1</v>
      </c>
    </row>
    <row r="18" spans="1:7">
      <c r="A18" s="28" t="s">
        <v>161</v>
      </c>
      <c r="C18" s="34">
        <f>C17*C7</f>
        <v>750</v>
      </c>
      <c r="D18" t="s">
        <v>143</v>
      </c>
    </row>
    <row r="19" spans="1:7">
      <c r="A19" s="28" t="s">
        <v>162</v>
      </c>
      <c r="C19" s="44">
        <f>C18*C10</f>
        <v>303750</v>
      </c>
    </row>
    <row r="21" spans="1:7">
      <c r="A21" s="28" t="s">
        <v>186</v>
      </c>
      <c r="B21" s="2">
        <f>C21/C14</f>
        <v>2.074074074074074E-2</v>
      </c>
      <c r="C21" s="23">
        <f>20*150*F29</f>
        <v>189000</v>
      </c>
      <c r="D21" t="s">
        <v>102</v>
      </c>
    </row>
    <row r="22" spans="1:7">
      <c r="A22" s="28"/>
      <c r="B22" s="2"/>
      <c r="C22" s="23"/>
    </row>
    <row r="23" spans="1:7">
      <c r="A23" s="28" t="s">
        <v>187</v>
      </c>
      <c r="B23" s="2"/>
      <c r="C23" s="23"/>
    </row>
    <row r="24" spans="1:7">
      <c r="A24" s="36" t="s">
        <v>168</v>
      </c>
      <c r="B24" s="2">
        <v>0.1</v>
      </c>
      <c r="C24" s="23">
        <f>$C$14*B24</f>
        <v>911250</v>
      </c>
      <c r="D24" t="s">
        <v>174</v>
      </c>
    </row>
    <row r="25" spans="1:7">
      <c r="A25" s="36" t="s">
        <v>169</v>
      </c>
      <c r="B25" s="2">
        <v>0.2</v>
      </c>
      <c r="C25" s="23">
        <f>$C$14*B25</f>
        <v>1822500</v>
      </c>
      <c r="D25" t="s">
        <v>149</v>
      </c>
    </row>
    <row r="26" spans="1:7">
      <c r="A26" s="28"/>
      <c r="B26" s="2"/>
      <c r="C26" s="23"/>
    </row>
    <row r="27" spans="1:7">
      <c r="A27" s="28" t="s">
        <v>108</v>
      </c>
    </row>
    <row r="28" spans="1:7">
      <c r="A28" s="36" t="s">
        <v>170</v>
      </c>
      <c r="B28" s="2">
        <v>0.17499999999999999</v>
      </c>
      <c r="C28" s="23">
        <f>$C$14*B28</f>
        <v>1594687.5</v>
      </c>
      <c r="D28" t="s">
        <v>150</v>
      </c>
      <c r="F28" s="60">
        <f>ROUND(C28/50000,0)</f>
        <v>32</v>
      </c>
      <c r="G28" t="s">
        <v>171</v>
      </c>
    </row>
    <row r="29" spans="1:7">
      <c r="A29" s="36"/>
      <c r="B29" s="2"/>
      <c r="C29" s="23"/>
      <c r="F29" s="61">
        <f>F28+C32+E10</f>
        <v>63</v>
      </c>
      <c r="G29" t="s">
        <v>151</v>
      </c>
    </row>
    <row r="30" spans="1:7">
      <c r="A30" s="36" t="s">
        <v>164</v>
      </c>
      <c r="C30" s="33">
        <f>C3</f>
        <v>1215</v>
      </c>
    </row>
    <row r="31" spans="1:7">
      <c r="A31" s="36" t="s">
        <v>163</v>
      </c>
      <c r="C31" s="33">
        <v>50</v>
      </c>
    </row>
    <row r="32" spans="1:7">
      <c r="A32" s="36" t="s">
        <v>165</v>
      </c>
      <c r="C32" s="33">
        <f>ROUND(C30/C31,0)</f>
        <v>24</v>
      </c>
    </row>
    <row r="33" spans="1:6">
      <c r="A33" s="36" t="s">
        <v>166</v>
      </c>
      <c r="C33" s="16">
        <v>40000</v>
      </c>
    </row>
    <row r="34" spans="1:6">
      <c r="A34" s="36" t="s">
        <v>167</v>
      </c>
      <c r="C34" s="23">
        <f>C33*C32</f>
        <v>960000</v>
      </c>
    </row>
    <row r="35" spans="1:6">
      <c r="A35" s="28"/>
      <c r="B35" s="2"/>
      <c r="C35" s="23"/>
      <c r="F35" s="24"/>
    </row>
    <row r="36" spans="1:6">
      <c r="A36" s="28" t="s">
        <v>172</v>
      </c>
      <c r="B36" s="2"/>
      <c r="C36" s="23">
        <f>(C34+C28)*0.3</f>
        <v>766406.25</v>
      </c>
      <c r="F36" s="24"/>
    </row>
    <row r="37" spans="1:6">
      <c r="A37" s="28"/>
      <c r="B37" s="2"/>
      <c r="C37" s="23"/>
    </row>
    <row r="38" spans="1:6">
      <c r="A38" s="28" t="s">
        <v>109</v>
      </c>
      <c r="B38" s="2">
        <v>2.5000000000000001E-2</v>
      </c>
      <c r="C38" s="23">
        <f>$C$14*B38</f>
        <v>227812.5</v>
      </c>
      <c r="D38" t="s">
        <v>103</v>
      </c>
    </row>
    <row r="39" spans="1:6" ht="14" thickBot="1">
      <c r="A39" s="28"/>
      <c r="B39" s="2"/>
      <c r="C39" s="42"/>
      <c r="D39" s="43"/>
      <c r="E39" s="43"/>
    </row>
    <row r="40" spans="1:6">
      <c r="A40" s="55" t="s">
        <v>133</v>
      </c>
      <c r="C40" s="18">
        <f>C38+C36+C34+C28+C25+C24+C21+C19</f>
        <v>6775406.25</v>
      </c>
    </row>
    <row r="42" spans="1:6">
      <c r="A42" s="55" t="s">
        <v>134</v>
      </c>
      <c r="C42" s="29">
        <f>C14-C40</f>
        <v>2337093.75</v>
      </c>
    </row>
    <row r="43" spans="1:6">
      <c r="A43" s="55" t="s">
        <v>135</v>
      </c>
      <c r="C43" s="20">
        <f>C42/C14</f>
        <v>0.25647119341563784</v>
      </c>
    </row>
    <row r="47" spans="1:6">
      <c r="A47" s="39" t="s">
        <v>145</v>
      </c>
    </row>
    <row r="48" spans="1:6">
      <c r="A48" s="39"/>
    </row>
    <row r="49" spans="1:3">
      <c r="A49" t="s">
        <v>142</v>
      </c>
      <c r="C49" s="44">
        <f>C42/E10</f>
        <v>333870.53571428574</v>
      </c>
    </row>
    <row r="51" spans="1:3">
      <c r="A51" t="s">
        <v>152</v>
      </c>
      <c r="C51" s="45">
        <f>C18</f>
        <v>750</v>
      </c>
    </row>
    <row r="52" spans="1:3">
      <c r="A52" t="s">
        <v>144</v>
      </c>
      <c r="B52" s="14">
        <v>0.1</v>
      </c>
      <c r="C52" s="46">
        <f>ROUND(C10*B52,0)</f>
        <v>41</v>
      </c>
    </row>
    <row r="53" spans="1:3">
      <c r="A53" t="s">
        <v>146</v>
      </c>
      <c r="B53" s="14">
        <f>1-B52</f>
        <v>0.9</v>
      </c>
      <c r="C53" s="46">
        <f>ROUND(B53*C10,0)</f>
        <v>365</v>
      </c>
    </row>
    <row r="54" spans="1:3">
      <c r="A54" t="s">
        <v>147</v>
      </c>
      <c r="C54" s="34">
        <f>C53*C51</f>
        <v>273750</v>
      </c>
    </row>
    <row r="55" spans="1:3">
      <c r="A55" t="s">
        <v>148</v>
      </c>
      <c r="C55" s="44">
        <f>C54/E10</f>
        <v>39107.142857142855</v>
      </c>
    </row>
    <row r="57" spans="1:3">
      <c r="A57" t="s">
        <v>158</v>
      </c>
      <c r="C57" s="47">
        <f>C49+C55</f>
        <v>372977.67857142858</v>
      </c>
    </row>
    <row r="59" spans="1:3">
      <c r="A59" t="s">
        <v>16</v>
      </c>
      <c r="C59" s="48"/>
    </row>
    <row r="62" spans="1:3">
      <c r="A62" s="55" t="s">
        <v>105</v>
      </c>
    </row>
    <row r="63" spans="1:3">
      <c r="A63" s="28" t="s">
        <v>107</v>
      </c>
      <c r="B63">
        <v>1.25</v>
      </c>
      <c r="C63" s="54" t="s">
        <v>78</v>
      </c>
    </row>
    <row r="64" spans="1:3">
      <c r="A64" s="28" t="s">
        <v>106</v>
      </c>
      <c r="B64" s="45">
        <f>$C$14*B63</f>
        <v>11390625</v>
      </c>
    </row>
    <row r="65" spans="1:3">
      <c r="A65" s="28" t="s">
        <v>79</v>
      </c>
      <c r="B65" s="45">
        <f>B64*2.5%</f>
        <v>284765.625</v>
      </c>
      <c r="C65" s="28" t="s">
        <v>80</v>
      </c>
    </row>
    <row r="66" spans="1:3">
      <c r="A66" s="28"/>
      <c r="B66" s="45"/>
    </row>
    <row r="67" spans="1:3">
      <c r="A67" s="28" t="s">
        <v>104</v>
      </c>
      <c r="B67" s="62">
        <f>(B64+B65)/$E$10</f>
        <v>1667912.9464285714</v>
      </c>
    </row>
    <row r="70" spans="1:3">
      <c r="A70" s="28"/>
      <c r="B70" s="45"/>
    </row>
    <row r="71" spans="1:3">
      <c r="A71" s="28"/>
      <c r="B71" s="62"/>
    </row>
  </sheetData>
  <phoneticPr fontId="8" type="noConversion"/>
  <pageMargins left="0.75" right="0.75" top="1" bottom="1" header="0.5" footer="0.5"/>
  <pageSetup orientation="portrait" horizontalDpi="4294967292" verticalDpi="4294967292"/>
  <headerFooter>
    <oddFooter>&amp;L&amp;A&amp;C&amp;"Verdana,Bold"Copyright 2009, 7DS Associates_x000D_www.7dsassociates.com&amp;RPage &amp;P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W54"/>
  <sheetViews>
    <sheetView topLeftCell="A16" workbookViewId="0">
      <selection activeCell="B26" sqref="B26"/>
    </sheetView>
  </sheetViews>
  <sheetFormatPr baseColWidth="10" defaultRowHeight="13"/>
  <cols>
    <col min="1" max="1" width="19.85546875" customWidth="1"/>
    <col min="2" max="2" width="13.42578125" customWidth="1"/>
    <col min="3" max="3" width="12.42578125" customWidth="1"/>
    <col min="4" max="4" width="8.42578125" customWidth="1"/>
    <col min="5" max="6" width="9.5703125" customWidth="1"/>
    <col min="7" max="7" width="8.85546875" customWidth="1"/>
    <col min="8" max="8" width="13" customWidth="1"/>
    <col min="9" max="9" width="8.7109375" customWidth="1"/>
    <col min="10" max="11" width="10.5703125" customWidth="1"/>
    <col min="12" max="12" width="13" customWidth="1"/>
    <col min="13" max="13" width="8.7109375" customWidth="1"/>
    <col min="14" max="14" width="11.140625" customWidth="1"/>
    <col min="15" max="15" width="8.42578125" customWidth="1"/>
    <col min="16" max="17" width="10.28515625" customWidth="1"/>
    <col min="18" max="18" width="7.42578125" customWidth="1"/>
    <col min="19" max="19" width="9.85546875" customWidth="1"/>
    <col min="20" max="20" width="8.28515625" customWidth="1"/>
    <col min="21" max="21" width="12.5703125" customWidth="1"/>
    <col min="22" max="22" width="13.42578125" customWidth="1"/>
    <col min="23" max="23" width="10.140625" customWidth="1"/>
  </cols>
  <sheetData>
    <row r="1" spans="1:5">
      <c r="A1" s="19" t="s">
        <v>98</v>
      </c>
      <c r="B1" t="s">
        <v>18</v>
      </c>
    </row>
    <row r="3" spans="1:5">
      <c r="A3" t="s">
        <v>178</v>
      </c>
      <c r="B3" s="49">
        <f>SUM(F22:F25)</f>
        <v>1215</v>
      </c>
    </row>
    <row r="4" spans="1:5">
      <c r="A4" t="s">
        <v>175</v>
      </c>
      <c r="B4" s="23">
        <v>300000</v>
      </c>
    </row>
    <row r="5" spans="1:5">
      <c r="A5" t="s">
        <v>119</v>
      </c>
      <c r="B5" s="23">
        <f>B3*B4</f>
        <v>364500000</v>
      </c>
    </row>
    <row r="6" spans="1:5">
      <c r="A6" t="s">
        <v>176</v>
      </c>
      <c r="B6" s="2">
        <v>2.5000000000000001E-2</v>
      </c>
    </row>
    <row r="7" spans="1:5">
      <c r="A7" t="s">
        <v>177</v>
      </c>
      <c r="B7" s="53">
        <f>B4*B6</f>
        <v>7500</v>
      </c>
    </row>
    <row r="8" spans="1:5">
      <c r="B8" s="53"/>
    </row>
    <row r="9" spans="1:5">
      <c r="A9" s="104" t="s">
        <v>90</v>
      </c>
      <c r="B9" s="103">
        <v>225</v>
      </c>
      <c r="C9" s="73" t="s">
        <v>28</v>
      </c>
    </row>
    <row r="10" spans="1:5">
      <c r="A10" s="104"/>
      <c r="B10" s="103"/>
      <c r="C10" s="73"/>
    </row>
    <row r="11" spans="1:5">
      <c r="A11" s="65" t="s">
        <v>89</v>
      </c>
      <c r="B11" s="63"/>
      <c r="C11" s="73" t="s">
        <v>97</v>
      </c>
      <c r="E11" t="s">
        <v>41</v>
      </c>
    </row>
    <row r="12" spans="1:5">
      <c r="A12" s="32" t="s">
        <v>86</v>
      </c>
      <c r="B12" s="64">
        <v>40</v>
      </c>
      <c r="C12" s="74">
        <f>B12*12</f>
        <v>480</v>
      </c>
    </row>
    <row r="13" spans="1:5">
      <c r="A13" s="32" t="s">
        <v>87</v>
      </c>
      <c r="B13" s="63">
        <v>25</v>
      </c>
      <c r="C13" s="75">
        <f>B13*12</f>
        <v>300</v>
      </c>
    </row>
    <row r="14" spans="1:5">
      <c r="A14" s="32" t="s">
        <v>88</v>
      </c>
      <c r="B14" s="63">
        <v>15</v>
      </c>
      <c r="C14" s="75">
        <f>B14*12</f>
        <v>180</v>
      </c>
    </row>
    <row r="15" spans="1:5">
      <c r="A15" t="s">
        <v>96</v>
      </c>
      <c r="B15" s="63">
        <v>100</v>
      </c>
      <c r="C15" s="75">
        <f>B15*1</f>
        <v>100</v>
      </c>
    </row>
    <row r="16" spans="1:5">
      <c r="B16" s="63"/>
      <c r="C16" s="75">
        <f>SUM(C12:C15)</f>
        <v>1060</v>
      </c>
    </row>
    <row r="17" spans="1:23">
      <c r="B17" s="63"/>
      <c r="C17" s="75"/>
    </row>
    <row r="18" spans="1:23">
      <c r="A18" t="s">
        <v>40</v>
      </c>
      <c r="B18" s="121">
        <v>0.06</v>
      </c>
      <c r="C18" s="75"/>
      <c r="E18" t="s">
        <v>42</v>
      </c>
    </row>
    <row r="19" spans="1:23">
      <c r="B19" s="63"/>
      <c r="C19" s="75"/>
    </row>
    <row r="20" spans="1:23">
      <c r="A20" t="s">
        <v>179</v>
      </c>
      <c r="B20" t="s">
        <v>184</v>
      </c>
      <c r="C20">
        <v>150</v>
      </c>
    </row>
    <row r="21" spans="1:23" s="51" customFormat="1" ht="39">
      <c r="B21" s="52" t="s">
        <v>121</v>
      </c>
      <c r="C21" s="52" t="s">
        <v>122</v>
      </c>
      <c r="D21" s="52" t="s">
        <v>123</v>
      </c>
      <c r="E21" s="52" t="s">
        <v>124</v>
      </c>
      <c r="F21" s="52" t="s">
        <v>125</v>
      </c>
      <c r="G21" s="52" t="s">
        <v>126</v>
      </c>
      <c r="H21" s="52" t="s">
        <v>33</v>
      </c>
      <c r="I21" s="52" t="s">
        <v>43</v>
      </c>
      <c r="J21" s="52" t="s">
        <v>44</v>
      </c>
      <c r="K21" s="52" t="s">
        <v>56</v>
      </c>
      <c r="L21" s="52" t="s">
        <v>45</v>
      </c>
      <c r="M21" s="52" t="s">
        <v>46</v>
      </c>
      <c r="N21" s="52" t="s">
        <v>128</v>
      </c>
      <c r="O21" s="52" t="s">
        <v>129</v>
      </c>
      <c r="P21" s="52" t="s">
        <v>47</v>
      </c>
      <c r="Q21" s="52" t="s">
        <v>48</v>
      </c>
      <c r="R21" s="52" t="s">
        <v>99</v>
      </c>
      <c r="S21" s="52" t="s">
        <v>115</v>
      </c>
      <c r="T21" s="52" t="s">
        <v>116</v>
      </c>
      <c r="U21" s="52" t="s">
        <v>117</v>
      </c>
      <c r="V21" s="51" t="s">
        <v>100</v>
      </c>
      <c r="W21" s="51" t="s">
        <v>101</v>
      </c>
    </row>
    <row r="22" spans="1:23">
      <c r="A22" t="s">
        <v>180</v>
      </c>
      <c r="B22" s="3">
        <v>0.9</v>
      </c>
      <c r="C22">
        <f>ROUND(35*1,0)</f>
        <v>35</v>
      </c>
      <c r="D22" s="3">
        <v>0.1</v>
      </c>
      <c r="E22">
        <f>$C$20*D22</f>
        <v>15</v>
      </c>
      <c r="F22">
        <f>C22*E22</f>
        <v>525</v>
      </c>
      <c r="G22" s="35">
        <f>F22/$B$3</f>
        <v>0.43209876543209874</v>
      </c>
      <c r="H22" s="23">
        <f>F22*$B$7</f>
        <v>3937500</v>
      </c>
      <c r="I22" s="23">
        <f>H22/E22</f>
        <v>262500</v>
      </c>
      <c r="J22" s="23">
        <f>H22*$B$18</f>
        <v>236250</v>
      </c>
      <c r="K22" s="23">
        <f>J22/E22</f>
        <v>15750</v>
      </c>
      <c r="L22" s="23">
        <f>H22-J22</f>
        <v>3701250</v>
      </c>
      <c r="M22" s="23">
        <f>L22/E22</f>
        <v>246750</v>
      </c>
      <c r="N22" s="44">
        <f>L22*(1-B22)</f>
        <v>370124.99999999994</v>
      </c>
      <c r="O22" s="45">
        <f>N22/E22</f>
        <v>24674.999999999996</v>
      </c>
      <c r="P22" s="45">
        <f>$B$9*F22</f>
        <v>118125</v>
      </c>
      <c r="Q22" s="45">
        <f>$C$16*E22</f>
        <v>15900</v>
      </c>
      <c r="R22" s="129">
        <v>0.1</v>
      </c>
      <c r="S22">
        <f>ROUND(F22*R22,0)</f>
        <v>53</v>
      </c>
      <c r="T22" s="14">
        <v>0.25</v>
      </c>
      <c r="U22" s="23">
        <f>ROUNDUP(T22*S22*$B$7,0)</f>
        <v>99375</v>
      </c>
      <c r="V22">
        <f>ROUNDUP(((R22*F22)/E22),0)</f>
        <v>4</v>
      </c>
      <c r="W22" s="53">
        <f>$B$7*T22*V22</f>
        <v>7500</v>
      </c>
    </row>
    <row r="23" spans="1:23">
      <c r="A23" t="s">
        <v>181</v>
      </c>
      <c r="B23" s="3">
        <v>0.8</v>
      </c>
      <c r="C23" s="100">
        <v>13</v>
      </c>
      <c r="D23" s="3">
        <v>0.2</v>
      </c>
      <c r="E23">
        <f t="shared" ref="E23:E25" si="0">$C$20*D23</f>
        <v>30</v>
      </c>
      <c r="F23">
        <f t="shared" ref="F23:F25" si="1">C23*E23</f>
        <v>390</v>
      </c>
      <c r="G23" s="35">
        <f t="shared" ref="G23:G26" si="2">F23/$B$3</f>
        <v>0.32098765432098764</v>
      </c>
      <c r="H23" s="23">
        <f t="shared" ref="H23:H25" si="3">F23*$B$7</f>
        <v>2925000</v>
      </c>
      <c r="I23" s="23">
        <f t="shared" ref="I23:I26" si="4">H23/E23</f>
        <v>97500</v>
      </c>
      <c r="J23" s="23">
        <f t="shared" ref="J23:J25" si="5">H23*$B$18</f>
        <v>175500</v>
      </c>
      <c r="K23" s="23">
        <f t="shared" ref="K23:K25" si="6">J23/E23</f>
        <v>5850</v>
      </c>
      <c r="L23" s="23">
        <f t="shared" ref="L23:L25" si="7">H23-J23</f>
        <v>2749500</v>
      </c>
      <c r="M23" s="23">
        <f t="shared" ref="M23:M25" si="8">L23/E23</f>
        <v>91650</v>
      </c>
      <c r="N23" s="44">
        <f t="shared" ref="N23:N25" si="9">L23*(1-B23)</f>
        <v>549899.99999999988</v>
      </c>
      <c r="O23" s="45">
        <f t="shared" ref="O23:O25" si="10">N23/E23</f>
        <v>18329.999999999996</v>
      </c>
      <c r="P23" s="45">
        <f t="shared" ref="P23:P25" si="11">$B$9*F23</f>
        <v>87750</v>
      </c>
      <c r="Q23" s="45">
        <f t="shared" ref="Q23:Q25" si="12">$C$16*E23</f>
        <v>31800</v>
      </c>
      <c r="R23" s="129">
        <v>0.25</v>
      </c>
      <c r="S23">
        <f t="shared" ref="S23:S25" si="13">ROUND(F23*R23,0)</f>
        <v>98</v>
      </c>
      <c r="T23" s="14">
        <v>0.25</v>
      </c>
      <c r="U23" s="23">
        <f t="shared" ref="U23:U25" si="14">ROUNDUP(T23*S23*$B$7,0)</f>
        <v>183750</v>
      </c>
      <c r="V23">
        <f t="shared" ref="V23:V25" si="15">ROUNDUP(((R23*F23)/E23),0)</f>
        <v>4</v>
      </c>
      <c r="W23" s="53">
        <f t="shared" ref="W23:W25" si="16">$B$7*T23*V23</f>
        <v>7500</v>
      </c>
    </row>
    <row r="24" spans="1:23">
      <c r="A24" t="s">
        <v>182</v>
      </c>
      <c r="B24" s="3">
        <v>0.7</v>
      </c>
      <c r="C24" s="100">
        <v>4</v>
      </c>
      <c r="D24" s="3">
        <v>0.3</v>
      </c>
      <c r="E24">
        <f t="shared" si="0"/>
        <v>45</v>
      </c>
      <c r="F24">
        <f t="shared" si="1"/>
        <v>180</v>
      </c>
      <c r="G24" s="35">
        <f t="shared" si="2"/>
        <v>0.14814814814814814</v>
      </c>
      <c r="H24" s="23">
        <f t="shared" si="3"/>
        <v>1350000</v>
      </c>
      <c r="I24" s="23">
        <f t="shared" si="4"/>
        <v>30000</v>
      </c>
      <c r="J24" s="23">
        <f t="shared" si="5"/>
        <v>81000</v>
      </c>
      <c r="K24" s="23">
        <f t="shared" si="6"/>
        <v>1800</v>
      </c>
      <c r="L24" s="23">
        <f t="shared" si="7"/>
        <v>1269000</v>
      </c>
      <c r="M24" s="23">
        <f t="shared" si="8"/>
        <v>28200</v>
      </c>
      <c r="N24" s="44">
        <f t="shared" si="9"/>
        <v>380700.00000000006</v>
      </c>
      <c r="O24" s="45">
        <f t="shared" si="10"/>
        <v>8460.0000000000018</v>
      </c>
      <c r="P24" s="45">
        <f t="shared" si="11"/>
        <v>40500</v>
      </c>
      <c r="Q24" s="45">
        <f t="shared" si="12"/>
        <v>47700</v>
      </c>
      <c r="R24" s="129">
        <v>0.5</v>
      </c>
      <c r="S24">
        <f t="shared" si="13"/>
        <v>90</v>
      </c>
      <c r="T24" s="14">
        <v>0.25</v>
      </c>
      <c r="U24" s="23">
        <f t="shared" si="14"/>
        <v>168750</v>
      </c>
      <c r="V24">
        <f t="shared" si="15"/>
        <v>2</v>
      </c>
      <c r="W24" s="53">
        <f t="shared" si="16"/>
        <v>3750</v>
      </c>
    </row>
    <row r="25" spans="1:23">
      <c r="A25" t="s">
        <v>183</v>
      </c>
      <c r="B25" s="3">
        <v>0.7</v>
      </c>
      <c r="C25" s="101">
        <v>2</v>
      </c>
      <c r="D25" s="9">
        <v>0.4</v>
      </c>
      <c r="E25" s="8">
        <f t="shared" si="0"/>
        <v>60</v>
      </c>
      <c r="F25" s="8">
        <f t="shared" si="1"/>
        <v>120</v>
      </c>
      <c r="G25" s="10">
        <f t="shared" si="2"/>
        <v>9.8765432098765427E-2</v>
      </c>
      <c r="H25" s="16">
        <f t="shared" si="3"/>
        <v>900000</v>
      </c>
      <c r="I25" s="16">
        <f t="shared" si="4"/>
        <v>15000</v>
      </c>
      <c r="J25" s="16">
        <f t="shared" si="5"/>
        <v>54000</v>
      </c>
      <c r="K25" s="16">
        <f t="shared" si="6"/>
        <v>900</v>
      </c>
      <c r="L25" s="16">
        <f t="shared" si="7"/>
        <v>846000</v>
      </c>
      <c r="M25" s="16">
        <f t="shared" si="8"/>
        <v>14100</v>
      </c>
      <c r="N25" s="34">
        <f t="shared" si="9"/>
        <v>253800.00000000003</v>
      </c>
      <c r="O25" s="12">
        <f t="shared" si="10"/>
        <v>4230.0000000000009</v>
      </c>
      <c r="P25" s="12">
        <f t="shared" si="11"/>
        <v>27000</v>
      </c>
      <c r="Q25" s="12">
        <f t="shared" si="12"/>
        <v>63600</v>
      </c>
      <c r="R25" s="130">
        <v>0.75</v>
      </c>
      <c r="S25" s="8">
        <f t="shared" si="13"/>
        <v>90</v>
      </c>
      <c r="T25" s="50">
        <v>0.25</v>
      </c>
      <c r="U25" s="16">
        <f t="shared" si="14"/>
        <v>168750</v>
      </c>
      <c r="V25" s="8">
        <f t="shared" si="15"/>
        <v>2</v>
      </c>
      <c r="W25" s="59">
        <f t="shared" si="16"/>
        <v>3750</v>
      </c>
    </row>
    <row r="26" spans="1:23">
      <c r="A26" t="s">
        <v>158</v>
      </c>
      <c r="D26" s="3">
        <f>SUM(D22:D25)</f>
        <v>1</v>
      </c>
      <c r="E26">
        <f>SUM(E22:E25)</f>
        <v>150</v>
      </c>
      <c r="F26">
        <f>SUM(F22:F25)</f>
        <v>1215</v>
      </c>
      <c r="G26" s="35">
        <f t="shared" si="2"/>
        <v>1</v>
      </c>
      <c r="H26" s="92">
        <f>SUM(H22:H25)</f>
        <v>9112500</v>
      </c>
      <c r="I26" s="23">
        <f t="shared" si="4"/>
        <v>60750</v>
      </c>
      <c r="J26" s="23">
        <f>SUM(J22:J25)</f>
        <v>546750</v>
      </c>
      <c r="K26" s="23"/>
      <c r="L26" s="92">
        <f>SUM(L22:L25)</f>
        <v>8565750</v>
      </c>
      <c r="M26" s="23"/>
      <c r="N26" s="18">
        <f>SUM(N22:N25)</f>
        <v>1554524.9999999998</v>
      </c>
      <c r="O26" s="23"/>
      <c r="P26" s="105">
        <f>SUM(P22:P25)</f>
        <v>273375</v>
      </c>
      <c r="Q26" s="105">
        <f>SUM(Q22:Q25)</f>
        <v>159000</v>
      </c>
      <c r="S26">
        <f>SUM(S22:S25)</f>
        <v>331</v>
      </c>
      <c r="U26" s="58">
        <f>SUM(U22:U25)</f>
        <v>620625</v>
      </c>
    </row>
    <row r="28" spans="1:23">
      <c r="A28" t="s">
        <v>49</v>
      </c>
      <c r="C28" s="122">
        <f>N26</f>
        <v>1554524.9999999998</v>
      </c>
    </row>
    <row r="29" spans="1:23">
      <c r="C29" s="120">
        <f>C28/H26</f>
        <v>0.17059259259259257</v>
      </c>
    </row>
    <row r="30" spans="1:23">
      <c r="A30" t="s">
        <v>50</v>
      </c>
      <c r="C30" s="45">
        <f>P26+Q26</f>
        <v>432375</v>
      </c>
    </row>
    <row r="31" spans="1:23">
      <c r="C31" s="120">
        <f>C30/H26</f>
        <v>4.744855967078189E-2</v>
      </c>
    </row>
    <row r="32" spans="1:23">
      <c r="A32" t="s">
        <v>51</v>
      </c>
      <c r="C32" s="122">
        <f>U26</f>
        <v>620625</v>
      </c>
    </row>
    <row r="33" spans="1:4">
      <c r="C33" s="120">
        <f>C32/H26</f>
        <v>6.8106995884773661E-2</v>
      </c>
    </row>
    <row r="34" spans="1:4">
      <c r="A34" s="55" t="s">
        <v>54</v>
      </c>
      <c r="B34" s="55"/>
      <c r="C34" s="127">
        <f>C28+C30+C32</f>
        <v>2607525</v>
      </c>
    </row>
    <row r="35" spans="1:4">
      <c r="C35" s="120">
        <f>C34/H26</f>
        <v>0.28614814814814815</v>
      </c>
    </row>
    <row r="37" spans="1:4">
      <c r="A37" s="55" t="s">
        <v>55</v>
      </c>
      <c r="B37" t="s">
        <v>113</v>
      </c>
    </row>
    <row r="39" spans="1:4">
      <c r="A39" s="54" t="s">
        <v>130</v>
      </c>
    </row>
    <row r="41" spans="1:4">
      <c r="A41" t="s">
        <v>186</v>
      </c>
      <c r="B41" s="131">
        <f>'SIMOPT-LG'!B41</f>
        <v>2.2222222222222223E-2</v>
      </c>
      <c r="C41" s="23">
        <f>B41*$H$26</f>
        <v>202500</v>
      </c>
      <c r="D41" t="s">
        <v>17</v>
      </c>
    </row>
    <row r="42" spans="1:4">
      <c r="A42" t="s">
        <v>187</v>
      </c>
      <c r="B42" s="131">
        <f>'SIMOPT-LG'!B42</f>
        <v>4.4444444444444446E-2</v>
      </c>
      <c r="C42" s="23">
        <f t="shared" ref="C42:C44" si="17">B42*$H$26</f>
        <v>405000</v>
      </c>
      <c r="D42" t="s">
        <v>58</v>
      </c>
    </row>
    <row r="43" spans="1:4">
      <c r="A43" t="s">
        <v>108</v>
      </c>
      <c r="B43" s="131">
        <f>'SIMOPT-LG'!B43</f>
        <v>6.6666666666666666E-2</v>
      </c>
      <c r="C43" s="23">
        <f t="shared" si="17"/>
        <v>607500</v>
      </c>
      <c r="D43" t="s">
        <v>59</v>
      </c>
    </row>
    <row r="44" spans="1:4">
      <c r="A44" t="s">
        <v>109</v>
      </c>
      <c r="B44" s="131">
        <f>'SIMOPT-LG'!B44</f>
        <v>2.2222222222222223E-2</v>
      </c>
      <c r="C44" s="23">
        <f t="shared" si="17"/>
        <v>202500</v>
      </c>
      <c r="D44" t="s">
        <v>57</v>
      </c>
    </row>
    <row r="45" spans="1:4">
      <c r="A45" t="s">
        <v>110</v>
      </c>
      <c r="C45" s="18">
        <f>SUM(C41:C44)</f>
        <v>1417500</v>
      </c>
      <c r="D45" s="21"/>
    </row>
    <row r="47" spans="1:4">
      <c r="A47" t="s">
        <v>111</v>
      </c>
      <c r="C47" s="123">
        <f>C34-C45</f>
        <v>1190025</v>
      </c>
    </row>
    <row r="48" spans="1:4">
      <c r="A48" t="s">
        <v>52</v>
      </c>
      <c r="C48" s="20">
        <f>C47/H26</f>
        <v>0.13059259259259259</v>
      </c>
    </row>
    <row r="49" spans="1:8">
      <c r="C49" s="20"/>
      <c r="F49" s="20"/>
      <c r="H49" s="55" t="s">
        <v>53</v>
      </c>
    </row>
    <row r="50" spans="1:8">
      <c r="A50" t="s">
        <v>137</v>
      </c>
      <c r="C50" s="126">
        <f>M22</f>
        <v>246750</v>
      </c>
      <c r="D50" s="45">
        <f>P22/E22</f>
        <v>7875</v>
      </c>
      <c r="E50" s="45">
        <f>Q22/E22</f>
        <v>1060</v>
      </c>
      <c r="F50" s="93">
        <f>W22</f>
        <v>7500</v>
      </c>
      <c r="H50" s="125">
        <f>C50-D50-E50-F50</f>
        <v>230315</v>
      </c>
    </row>
    <row r="51" spans="1:8">
      <c r="A51" t="s">
        <v>138</v>
      </c>
      <c r="C51" s="126">
        <f t="shared" ref="C51:C52" si="18">M23</f>
        <v>91650</v>
      </c>
      <c r="D51" s="45">
        <f t="shared" ref="D51:D53" si="19">P23/E23</f>
        <v>2925</v>
      </c>
      <c r="E51" s="45">
        <f t="shared" ref="E51:E53" si="20">Q23/E23</f>
        <v>1060</v>
      </c>
      <c r="F51" s="124">
        <f t="shared" ref="F51:F53" si="21">W23</f>
        <v>7500</v>
      </c>
      <c r="H51" s="125">
        <f t="shared" ref="H51:H53" si="22">C51-D51-E51-F51</f>
        <v>80165</v>
      </c>
    </row>
    <row r="52" spans="1:8">
      <c r="A52" t="s">
        <v>139</v>
      </c>
      <c r="C52" s="126">
        <f t="shared" si="18"/>
        <v>28200</v>
      </c>
      <c r="D52" s="45">
        <f t="shared" si="19"/>
        <v>900</v>
      </c>
      <c r="E52" s="45">
        <f t="shared" si="20"/>
        <v>1060</v>
      </c>
      <c r="F52" s="124">
        <f t="shared" si="21"/>
        <v>3750</v>
      </c>
      <c r="H52" s="125">
        <f t="shared" si="22"/>
        <v>22490</v>
      </c>
    </row>
    <row r="53" spans="1:8">
      <c r="A53" t="s">
        <v>140</v>
      </c>
      <c r="C53" s="126">
        <f>M25</f>
        <v>14100</v>
      </c>
      <c r="D53" s="45">
        <f t="shared" si="19"/>
        <v>450</v>
      </c>
      <c r="E53" s="45">
        <f t="shared" si="20"/>
        <v>1060</v>
      </c>
      <c r="F53" s="124">
        <f t="shared" si="21"/>
        <v>3750</v>
      </c>
      <c r="H53" s="125">
        <f t="shared" si="22"/>
        <v>8840</v>
      </c>
    </row>
    <row r="54" spans="1:8">
      <c r="C54" s="20"/>
      <c r="F54" s="20"/>
    </row>
  </sheetData>
  <phoneticPr fontId="8" type="noConversion"/>
  <pageMargins left="0.75" right="0.75" top="1" bottom="1" header="0.5" footer="0.5"/>
  <pageSetup orientation="portrait" horizontalDpi="4294967292" verticalDpi="4294967292"/>
  <headerFooter>
    <oddFooter>&amp;L&amp;A&amp;C&amp;"Verdana,Bold"Copyright 2009, 7DS Associates_x000D_www.7dsassociates.com&amp;RPage &amp;P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Summary</vt:lpstr>
      <vt:lpstr>TF-LG</vt:lpstr>
      <vt:lpstr>SIM-LG</vt:lpstr>
      <vt:lpstr>KD-LG</vt:lpstr>
      <vt:lpstr>TFOPT-LG</vt:lpstr>
      <vt:lpstr>SIMOPT-LG</vt:lpstr>
      <vt:lpstr>KDOPT-LG</vt:lpstr>
      <vt:lpstr>TF - Mid</vt:lpstr>
      <vt:lpstr>SIM-Mid</vt:lpstr>
      <vt:lpstr>KD-Mid</vt:lpstr>
      <vt:lpstr>TF-SM</vt:lpstr>
      <vt:lpstr>Sim-SM</vt:lpstr>
      <vt:lpstr>KD-SM</vt:lpstr>
    </vt:vector>
  </TitlesOfParts>
  <Company>7DS Associates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Hahn</dc:creator>
  <cp:lastModifiedBy>Robert Hahn</cp:lastModifiedBy>
  <dcterms:created xsi:type="dcterms:W3CDTF">2009-08-21T14:23:59Z</dcterms:created>
  <dcterms:modified xsi:type="dcterms:W3CDTF">2009-08-27T18:37:08Z</dcterms:modified>
</cp:coreProperties>
</file>